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F:\1- Circuitos de Conminución\6- Web avidegain\Papers Propios\"/>
    </mc:Choice>
  </mc:AlternateContent>
  <xr:revisionPtr revIDLastSave="0" documentId="8_{05EA1737-091A-4AEA-AEEE-8627A2B7DCE0}" xr6:coauthVersionLast="47" xr6:coauthVersionMax="47" xr10:uidLastSave="{00000000-0000-0000-0000-000000000000}"/>
  <bookViews>
    <workbookView xWindow="30" yWindow="30" windowWidth="20460" windowHeight="10890" tabRatio="749" activeTab="7" xr2:uid="{269150F7-BEB6-447D-B025-7C20E8977403}"/>
  </bookViews>
  <sheets>
    <sheet name="Ecuaciones Austin" sheetId="1" r:id="rId1"/>
    <sheet name="Hoja1" sheetId="6" r:id="rId2"/>
    <sheet name="Ej. Meadobank" sheetId="2" r:id="rId3"/>
    <sheet name="Ej. Otras Mineras" sheetId="3" r:id="rId4"/>
    <sheet name="Toromocho" sheetId="8" r:id="rId5"/>
    <sheet name="Calc Austin" sheetId="5" r:id="rId6"/>
    <sheet name="Densidad Ap" sheetId="7" r:id="rId7"/>
    <sheet name="Candelaria" sheetId="4" r:id="rId8"/>
  </sheets>
  <calcPr calcId="191029" iterate="1" iterateCount="3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0" i="3" l="1"/>
  <c r="Q11" i="3"/>
  <c r="Q8" i="3"/>
  <c r="Q9" i="3" s="1"/>
  <c r="Q22" i="3" s="1"/>
  <c r="Q24" i="3" s="1"/>
  <c r="Q26" i="3" s="1"/>
  <c r="Q31" i="3" s="1"/>
  <c r="Q6" i="3"/>
  <c r="P30" i="3"/>
  <c r="P25" i="3"/>
  <c r="P23" i="3"/>
  <c r="P11" i="3"/>
  <c r="P8" i="3"/>
  <c r="P9" i="3" s="1"/>
  <c r="P6" i="3"/>
  <c r="O30" i="3"/>
  <c r="O6" i="3"/>
  <c r="O8" i="3"/>
  <c r="O9" i="3" s="1"/>
  <c r="O11" i="3"/>
  <c r="O23" i="3"/>
  <c r="O25" i="3"/>
  <c r="G7" i="8"/>
  <c r="G9" i="8"/>
  <c r="F11" i="8"/>
  <c r="F8" i="8"/>
  <c r="F9" i="8" s="1"/>
  <c r="F22" i="8" s="1"/>
  <c r="F24" i="8" s="1"/>
  <c r="F26" i="8" s="1"/>
  <c r="F31" i="8" s="1"/>
  <c r="F6" i="8"/>
  <c r="I4" i="8"/>
  <c r="E11" i="8"/>
  <c r="E9" i="8"/>
  <c r="E22" i="8" s="1"/>
  <c r="E24" i="8" s="1"/>
  <c r="E26" i="8" s="1"/>
  <c r="E31" i="8" s="1"/>
  <c r="E8" i="8"/>
  <c r="E6" i="8"/>
  <c r="I11" i="8"/>
  <c r="I13" i="8"/>
  <c r="I15" i="8" s="1"/>
  <c r="I8" i="8"/>
  <c r="D11" i="8"/>
  <c r="D8" i="8"/>
  <c r="D9" i="8" s="1"/>
  <c r="D6" i="8"/>
  <c r="H35" i="3"/>
  <c r="F35" i="3"/>
  <c r="P22" i="3" l="1"/>
  <c r="P24" i="3" s="1"/>
  <c r="P26" i="3" s="1"/>
  <c r="P31" i="3" s="1"/>
  <c r="O22" i="3"/>
  <c r="O24" i="3" s="1"/>
  <c r="O26" i="3" s="1"/>
  <c r="O31" i="3" s="1"/>
  <c r="H8" i="8"/>
  <c r="D22" i="8"/>
  <c r="D24" i="8" s="1"/>
  <c r="D26" i="8" s="1"/>
  <c r="D31" i="8" s="1"/>
  <c r="I17" i="8"/>
  <c r="I19" i="8" s="1"/>
  <c r="M25" i="3"/>
  <c r="M23" i="3"/>
  <c r="M11" i="3"/>
  <c r="M9" i="3"/>
  <c r="M22" i="3" s="1"/>
  <c r="M24" i="3" s="1"/>
  <c r="M26" i="3" s="1"/>
  <c r="M31" i="3" s="1"/>
  <c r="M8" i="3"/>
  <c r="M6" i="3"/>
  <c r="N11" i="3" l="1"/>
  <c r="N8" i="3"/>
  <c r="N9" i="3" s="1"/>
  <c r="N22" i="3" s="1"/>
  <c r="N6" i="3"/>
  <c r="H61" i="7"/>
  <c r="M19" i="7" l="1"/>
  <c r="D18" i="7"/>
  <c r="D17" i="7"/>
  <c r="D19" i="7" s="1"/>
  <c r="D15" i="7"/>
  <c r="D7" i="7"/>
  <c r="D6" i="7"/>
  <c r="D9" i="6"/>
  <c r="D8" i="6"/>
  <c r="L11" i="3"/>
  <c r="L8" i="3"/>
  <c r="L9" i="3" s="1"/>
  <c r="L22" i="3" s="1"/>
  <c r="L24" i="3" s="1"/>
  <c r="L6" i="3"/>
  <c r="K25" i="3"/>
  <c r="K23" i="3"/>
  <c r="L23" i="3" s="1"/>
  <c r="N23" i="3" s="1"/>
  <c r="N24" i="3" s="1"/>
  <c r="K11" i="3"/>
  <c r="K8" i="3"/>
  <c r="K9" i="3" s="1"/>
  <c r="K22" i="3" s="1"/>
  <c r="K24" i="3" s="1"/>
  <c r="K6" i="3"/>
  <c r="D11" i="5"/>
  <c r="D8" i="5"/>
  <c r="D9" i="5" s="1"/>
  <c r="D6" i="5"/>
  <c r="K26" i="3" l="1"/>
  <c r="K31" i="3" s="1"/>
  <c r="L25" i="3"/>
  <c r="N25" i="3" s="1"/>
  <c r="N26" i="3" s="1"/>
  <c r="N31" i="3" s="1"/>
  <c r="D20" i="7"/>
  <c r="D25" i="7" s="1"/>
  <c r="D27" i="7" s="1"/>
  <c r="D22" i="5"/>
  <c r="D24" i="5" s="1"/>
  <c r="D26" i="5" s="1"/>
  <c r="AQ58" i="4"/>
  <c r="AQ57" i="4"/>
  <c r="AM58" i="4"/>
  <c r="AM57" i="4"/>
  <c r="L26" i="3" l="1"/>
  <c r="L31" i="3" s="1"/>
  <c r="W46" i="4"/>
  <c r="Y36" i="4"/>
  <c r="Y35" i="4"/>
  <c r="AH32" i="4"/>
  <c r="AG32" i="4"/>
  <c r="W29" i="4"/>
  <c r="V29" i="4"/>
  <c r="V32" i="4" s="1"/>
  <c r="L29" i="4"/>
  <c r="R28" i="4"/>
  <c r="Q28" i="4"/>
  <c r="L28" i="4"/>
  <c r="W27" i="4"/>
  <c r="V27" i="4"/>
  <c r="W24" i="4"/>
  <c r="V24" i="4"/>
  <c r="X23" i="4"/>
  <c r="X22" i="4"/>
  <c r="D22" i="4"/>
  <c r="F16" i="4"/>
  <c r="E16" i="4"/>
  <c r="O15" i="4"/>
  <c r="N15" i="4"/>
  <c r="N18" i="4" s="1"/>
  <c r="J15" i="4"/>
  <c r="I15" i="4"/>
  <c r="F14" i="4"/>
  <c r="AF11" i="4"/>
  <c r="G11" i="4"/>
  <c r="F9" i="4"/>
  <c r="I16" i="4" s="1"/>
  <c r="G8" i="4"/>
  <c r="F8" i="4"/>
  <c r="F11" i="4" s="1"/>
  <c r="Y7" i="4"/>
  <c r="AG6" i="4"/>
  <c r="Y37" i="4" s="1"/>
  <c r="AH5" i="4"/>
  <c r="AG5" i="4"/>
  <c r="N16" i="4" l="1"/>
  <c r="E15" i="4"/>
  <c r="G9" i="4"/>
  <c r="J16" i="4" s="1"/>
  <c r="V25" i="4"/>
  <c r="AF10" i="4"/>
  <c r="AF12" i="4" s="1"/>
  <c r="AF13" i="4" s="1"/>
  <c r="AF15" i="4" s="1"/>
  <c r="AG33" i="4"/>
  <c r="I17" i="4" l="1"/>
  <c r="J17" i="4"/>
  <c r="V30" i="4"/>
  <c r="AL13" i="4"/>
  <c r="F10" i="4"/>
  <c r="W25" i="4"/>
  <c r="V26" i="4" s="1"/>
  <c r="Q29" i="4"/>
  <c r="O16" i="4"/>
  <c r="N17" i="4"/>
  <c r="W30" i="4" l="1"/>
  <c r="V31" i="4" s="1"/>
  <c r="AL14" i="4"/>
  <c r="K12" i="4"/>
  <c r="R29" i="4"/>
  <c r="AH33" i="4" s="1"/>
  <c r="N11" i="4"/>
  <c r="J18" i="4"/>
  <c r="I18" i="4"/>
  <c r="R30" i="4"/>
  <c r="Q31" i="4" s="1"/>
  <c r="Q30" i="4"/>
  <c r="AL15" i="4"/>
  <c r="AH6" i="4" l="1"/>
  <c r="H43" i="4"/>
  <c r="AL19" i="4"/>
  <c r="AG34" i="4"/>
  <c r="AH34" i="4"/>
  <c r="AL34" i="4" l="1"/>
  <c r="AG35" i="4"/>
  <c r="AI33" i="4"/>
  <c r="H44" i="4"/>
  <c r="H45" i="4" s="1"/>
  <c r="AL20" i="4"/>
  <c r="AL21" i="4" s="1"/>
  <c r="AG7" i="4"/>
  <c r="AH7" i="4"/>
  <c r="AL7" i="4" l="1"/>
  <c r="AG8" i="4"/>
  <c r="E11" i="3" l="1"/>
  <c r="F11" i="3"/>
  <c r="G11" i="3"/>
  <c r="H11" i="3"/>
  <c r="I11" i="3"/>
  <c r="J11" i="3"/>
  <c r="E6" i="3"/>
  <c r="F6" i="3"/>
  <c r="G6" i="3"/>
  <c r="H6" i="3"/>
  <c r="I6" i="3"/>
  <c r="J6" i="3"/>
  <c r="E8" i="3"/>
  <c r="E9" i="3" s="1"/>
  <c r="E22" i="3" s="1"/>
  <c r="E24" i="3" s="1"/>
  <c r="E26" i="3" s="1"/>
  <c r="E31" i="3" s="1"/>
  <c r="F8" i="3"/>
  <c r="F9" i="3" s="1"/>
  <c r="G8" i="3"/>
  <c r="G9" i="3" s="1"/>
  <c r="H8" i="3"/>
  <c r="H9" i="3" s="1"/>
  <c r="I8" i="3"/>
  <c r="I9" i="3" s="1"/>
  <c r="I22" i="3" s="1"/>
  <c r="I24" i="3" s="1"/>
  <c r="I26" i="3" s="1"/>
  <c r="I31" i="3" s="1"/>
  <c r="J8" i="3"/>
  <c r="J9" i="3" s="1"/>
  <c r="D11" i="3"/>
  <c r="D8" i="3"/>
  <c r="D9" i="3" s="1"/>
  <c r="D22" i="3" s="1"/>
  <c r="D24" i="3" s="1"/>
  <c r="D26" i="3" s="1"/>
  <c r="D31" i="3" s="1"/>
  <c r="D6" i="3"/>
  <c r="D11" i="2"/>
  <c r="D9" i="2"/>
  <c r="D22" i="2" s="1"/>
  <c r="D24" i="2" s="1"/>
  <c r="D26" i="2" s="1"/>
  <c r="D8" i="2"/>
  <c r="D6" i="2"/>
  <c r="J22" i="3" l="1"/>
  <c r="J24" i="3" s="1"/>
  <c r="J26" i="3" s="1"/>
  <c r="J31" i="3" s="1"/>
  <c r="F22" i="3"/>
  <c r="F24" i="3" s="1"/>
  <c r="F26" i="3" s="1"/>
  <c r="F31" i="3" s="1"/>
  <c r="H22" i="3"/>
  <c r="H24" i="3" s="1"/>
  <c r="H26" i="3" s="1"/>
  <c r="H31" i="3" s="1"/>
  <c r="G22" i="3"/>
  <c r="G24" i="3" s="1"/>
  <c r="G26" i="3" s="1"/>
  <c r="G31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Alfonso</author>
  </authors>
  <commentList>
    <comment ref="D5" authorId="0" shapeId="0" xr:uid="{314BA279-72EB-4928-A063-86205479E1DB}">
      <text>
        <r>
          <rPr>
            <b/>
            <sz val="9"/>
            <color indexed="81"/>
            <rFont val="Tahoma"/>
            <family val="2"/>
          </rPr>
          <t>Alfonso:</t>
        </r>
        <r>
          <rPr>
            <sz val="9"/>
            <color indexed="81"/>
            <rFont val="Tahoma"/>
            <family val="2"/>
          </rPr>
          <t xml:space="preserve">
En rojo valores a ingresar</t>
        </r>
      </text>
    </comment>
  </commentList>
</comments>
</file>

<file path=xl/sharedStrings.xml><?xml version="1.0" encoding="utf-8"?>
<sst xmlns="http://schemas.openxmlformats.org/spreadsheetml/2006/main" count="309" uniqueCount="107">
  <si>
    <t>Austin Model</t>
  </si>
  <si>
    <t>Meadowbank Gold Mine</t>
  </si>
  <si>
    <t>De</t>
  </si>
  <si>
    <t>ft</t>
  </si>
  <si>
    <t>m</t>
  </si>
  <si>
    <t>e</t>
  </si>
  <si>
    <t>Di</t>
  </si>
  <si>
    <t>L</t>
  </si>
  <si>
    <t>Jtot</t>
  </si>
  <si>
    <t>%</t>
  </si>
  <si>
    <t>Jballs</t>
  </si>
  <si>
    <t>rsolids</t>
  </si>
  <si>
    <t>t/m3</t>
  </si>
  <si>
    <t>rballs</t>
  </si>
  <si>
    <t>Wc (%solids)</t>
  </si>
  <si>
    <r>
      <t>e</t>
    </r>
    <r>
      <rPr>
        <vertAlign val="subscript"/>
        <sz val="12"/>
        <color theme="1"/>
        <rFont val="Arial"/>
        <family val="2"/>
      </rPr>
      <t xml:space="preserve">B, </t>
    </r>
    <r>
      <rPr>
        <sz val="12"/>
        <color theme="1"/>
        <rFont val="Arial"/>
        <family val="2"/>
      </rPr>
      <t xml:space="preserve">porosity </t>
    </r>
  </si>
  <si>
    <r>
      <t>f</t>
    </r>
    <r>
      <rPr>
        <vertAlign val="subscript"/>
        <sz val="12"/>
        <color theme="1"/>
        <rFont val="Arial"/>
        <family val="2"/>
      </rPr>
      <t>C,</t>
    </r>
    <r>
      <rPr>
        <sz val="12"/>
        <color theme="1"/>
        <rFont val="Arial"/>
        <family val="2"/>
      </rPr>
      <t xml:space="preserve"> mill speed</t>
    </r>
  </si>
  <si>
    <t>K</t>
  </si>
  <si>
    <t>A</t>
  </si>
  <si>
    <t>P, Austin Power Shell</t>
  </si>
  <si>
    <t>kW</t>
  </si>
  <si>
    <t xml:space="preserve">Factor Cone End </t>
  </si>
  <si>
    <t>P, Austin Power Shell + Cone</t>
  </si>
  <si>
    <t>Factor Motor drive looses</t>
  </si>
  <si>
    <t>P, Austin Motor (minimum)</t>
  </si>
  <si>
    <t>Candelaria</t>
  </si>
  <si>
    <t>Escondida</t>
  </si>
  <si>
    <t>Antamina</t>
  </si>
  <si>
    <t>Peñasquito</t>
  </si>
  <si>
    <t>Esperanza</t>
  </si>
  <si>
    <t>Cadia</t>
  </si>
  <si>
    <t>Toromocho</t>
  </si>
  <si>
    <t>Motor Seleccionado (Gross Power)</t>
  </si>
  <si>
    <r>
      <rPr>
        <sz val="12"/>
        <color theme="1"/>
        <rFont val="Symbol"/>
        <family val="1"/>
        <charset val="2"/>
      </rPr>
      <t>D</t>
    </r>
    <r>
      <rPr>
        <sz val="12"/>
        <color theme="1"/>
        <rFont val="Arial"/>
        <family val="2"/>
      </rPr>
      <t xml:space="preserve"> kW</t>
    </r>
  </si>
  <si>
    <t>Diferencia Austin vs motor seleccionado</t>
  </si>
  <si>
    <t>t/d @ 100% run time</t>
  </si>
  <si>
    <r>
      <t>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/h</t>
    </r>
  </si>
  <si>
    <t>m3/t</t>
  </si>
  <si>
    <t>Carga Circulante</t>
  </si>
  <si>
    <t>t/d @ 93% run time</t>
  </si>
  <si>
    <t>Solids</t>
  </si>
  <si>
    <t>Diseño</t>
  </si>
  <si>
    <t>CC =</t>
  </si>
  <si>
    <t>t/h L1 + L2</t>
  </si>
  <si>
    <t>IN</t>
  </si>
  <si>
    <t xml:space="preserve"> Lines</t>
  </si>
  <si>
    <t>OUT</t>
  </si>
  <si>
    <t>t/h one Line</t>
  </si>
  <si>
    <t>Water</t>
  </si>
  <si>
    <t>tpd</t>
  </si>
  <si>
    <t>current</t>
  </si>
  <si>
    <t>Future</t>
  </si>
  <si>
    <t>kWh/t</t>
  </si>
  <si>
    <t>Water Balance</t>
  </si>
  <si>
    <t>In</t>
  </si>
  <si>
    <t>Out</t>
  </si>
  <si>
    <t>D</t>
  </si>
  <si>
    <r>
      <t xml:space="preserve">SAG </t>
    </r>
    <r>
      <rPr>
        <b/>
        <sz val="11"/>
        <color theme="1"/>
        <rFont val="Calibri"/>
        <family val="2"/>
      </rPr>
      <t>↑</t>
    </r>
  </si>
  <si>
    <t>Año 2016</t>
  </si>
  <si>
    <t>Mes</t>
  </si>
  <si>
    <t>t/d</t>
  </si>
  <si>
    <t>h/mes</t>
  </si>
  <si>
    <t>d/mes</t>
  </si>
  <si>
    <t>h/d</t>
  </si>
  <si>
    <t>Promedio</t>
  </si>
  <si>
    <t>Mediana</t>
  </si>
  <si>
    <t>SAG-1 Collah</t>
  </si>
  <si>
    <t>Collahuasi-1</t>
  </si>
  <si>
    <t>SAG-3 Collah</t>
  </si>
  <si>
    <t>Collahuasi-3</t>
  </si>
  <si>
    <t>f</t>
  </si>
  <si>
    <t>Ft</t>
  </si>
  <si>
    <r>
      <rPr>
        <sz val="11"/>
        <color theme="1"/>
        <rFont val="Symbol"/>
        <family val="1"/>
        <charset val="2"/>
      </rPr>
      <t>t</t>
    </r>
    <r>
      <rPr>
        <sz val="11"/>
        <color theme="1"/>
        <rFont val="Calibri"/>
        <family val="2"/>
        <scheme val="minor"/>
      </rPr>
      <t>S</t>
    </r>
  </si>
  <si>
    <t>rad</t>
  </si>
  <si>
    <t>deg</t>
  </si>
  <si>
    <t>Collahuasi</t>
  </si>
  <si>
    <t>Diámetro</t>
  </si>
  <si>
    <t>Largo</t>
  </si>
  <si>
    <r>
      <rPr>
        <sz val="14"/>
        <color theme="1"/>
        <rFont val="Symbol"/>
        <family val="1"/>
        <charset val="2"/>
      </rPr>
      <t>r</t>
    </r>
    <r>
      <rPr>
        <vertAlign val="subscript"/>
        <sz val="11"/>
        <color theme="1"/>
        <rFont val="Calibri"/>
        <family val="2"/>
        <scheme val="minor"/>
      </rPr>
      <t>MIN</t>
    </r>
  </si>
  <si>
    <t>J</t>
  </si>
  <si>
    <t>JB</t>
  </si>
  <si>
    <t>m3</t>
  </si>
  <si>
    <t>t</t>
  </si>
  <si>
    <r>
      <rPr>
        <sz val="14"/>
        <color theme="1"/>
        <rFont val="Symbol"/>
        <family val="1"/>
        <charset val="2"/>
      </rPr>
      <t>r</t>
    </r>
    <r>
      <rPr>
        <vertAlign val="subscript"/>
        <sz val="11"/>
        <color theme="1"/>
        <rFont val="Calibri"/>
        <family val="2"/>
        <scheme val="minor"/>
      </rPr>
      <t>BOLAS</t>
    </r>
  </si>
  <si>
    <t>Vs</t>
  </si>
  <si>
    <t>CP</t>
  </si>
  <si>
    <r>
      <rPr>
        <sz val="14"/>
        <color theme="1"/>
        <rFont val="Symbol"/>
        <family val="1"/>
        <charset val="2"/>
      </rPr>
      <t>r</t>
    </r>
    <r>
      <rPr>
        <vertAlign val="subscript"/>
        <sz val="11"/>
        <color theme="1"/>
        <rFont val="Calibri"/>
        <family val="2"/>
        <scheme val="minor"/>
      </rPr>
      <t>carga</t>
    </r>
  </si>
  <si>
    <t>Ws (peso del mineral)</t>
  </si>
  <si>
    <r>
      <t>W</t>
    </r>
    <r>
      <rPr>
        <vertAlign val="subscript"/>
        <sz val="11"/>
        <color theme="1"/>
        <rFont val="Calibri"/>
        <family val="2"/>
        <scheme val="minor"/>
      </rPr>
      <t>SB</t>
    </r>
    <r>
      <rPr>
        <sz val="11"/>
        <color theme="1"/>
        <rFont val="Calibri"/>
        <family val="2"/>
        <scheme val="minor"/>
      </rPr>
      <t xml:space="preserve"> (peso de las bolas)</t>
    </r>
  </si>
  <si>
    <r>
      <t>W</t>
    </r>
    <r>
      <rPr>
        <vertAlign val="subscript"/>
        <sz val="11"/>
        <color theme="1"/>
        <rFont val="Calibri"/>
        <family val="2"/>
        <scheme val="minor"/>
      </rPr>
      <t>AGUA</t>
    </r>
    <r>
      <rPr>
        <sz val="11"/>
        <color theme="1"/>
        <rFont val="Calibri"/>
        <family val="2"/>
        <scheme val="minor"/>
      </rPr>
      <t xml:space="preserve"> (peso del agua)</t>
    </r>
  </si>
  <si>
    <t>gS1</t>
  </si>
  <si>
    <t>gS2</t>
  </si>
  <si>
    <t>S</t>
  </si>
  <si>
    <t>micrones</t>
  </si>
  <si>
    <t>% Pas.</t>
  </si>
  <si>
    <t>P80</t>
  </si>
  <si>
    <t>Chuqui</t>
  </si>
  <si>
    <t>GMD Repot.</t>
  </si>
  <si>
    <t>GMD Orig.</t>
  </si>
  <si>
    <t>mm</t>
  </si>
  <si>
    <t>mm effective</t>
  </si>
  <si>
    <t>mm nominal</t>
  </si>
  <si>
    <t>FLS</t>
  </si>
  <si>
    <t>Batu</t>
  </si>
  <si>
    <t>Andina</t>
  </si>
  <si>
    <t>Teniente</t>
  </si>
  <si>
    <r>
      <t xml:space="preserve">SAG </t>
    </r>
    <r>
      <rPr>
        <b/>
        <sz val="11"/>
        <color theme="1"/>
        <rFont val="Calibri"/>
        <family val="2"/>
      </rPr>
      <t>↓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</si>
</sst>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%"/>
    <numFmt numFmtId="166" formatCode="0.000%"/>
    <numFmt numFmtId="167" formatCode="0.000"/>
  </numFmts>
  <fonts count="32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2"/>
      <name val="Arial"/>
      <family val="2"/>
    </font>
    <font>
      <sz val="10"/>
      <name val="Arial"/>
      <family val="2"/>
    </font>
    <font>
      <vertAlign val="subscript"/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Symbol"/>
      <family val="1"/>
      <charset val="2"/>
    </font>
    <font>
      <sz val="12"/>
      <color theme="1"/>
      <name val="Arial"/>
      <family val="1"/>
      <charset val="2"/>
    </font>
    <font>
      <sz val="9"/>
      <name val="Arial"/>
      <family val="2"/>
    </font>
    <font>
      <sz val="11"/>
      <color rgb="FFFF0000"/>
      <name val="Arial"/>
      <family val="2"/>
    </font>
    <font>
      <vertAlign val="superscript"/>
      <sz val="11"/>
      <color theme="1"/>
      <name val="Arial"/>
      <family val="2"/>
    </font>
    <font>
      <sz val="10"/>
      <color indexed="10"/>
      <name val="Arial"/>
      <family val="2"/>
    </font>
    <font>
      <b/>
      <sz val="11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sz val="11"/>
      <color theme="1"/>
      <name val="Symbol"/>
      <family val="1"/>
      <charset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b/>
      <sz val="11"/>
      <color theme="1"/>
      <name val="Calibri"/>
      <family val="2"/>
    </font>
    <font>
      <sz val="11"/>
      <color theme="1"/>
      <name val="Calibri"/>
      <family val="1"/>
      <charset val="2"/>
      <scheme val="minor"/>
    </font>
    <font>
      <sz val="14"/>
      <color theme="1"/>
      <name val="Symbol"/>
      <family val="1"/>
      <charset val="2"/>
    </font>
    <font>
      <vertAlign val="subscript"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0" fontId="9" fillId="0" borderId="0"/>
    <xf numFmtId="0" fontId="9" fillId="0" borderId="0"/>
  </cellStyleXfs>
  <cellXfs count="91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2" applyFont="1" applyAlignment="1">
      <alignment horizontal="center"/>
    </xf>
    <xf numFmtId="2" fontId="7" fillId="0" borderId="0" xfId="2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165" fontId="7" fillId="0" borderId="0" xfId="1" applyNumberFormat="1" applyFont="1" applyAlignment="1">
      <alignment horizontal="center"/>
    </xf>
    <xf numFmtId="0" fontId="7" fillId="0" borderId="0" xfId="0" applyFont="1" applyAlignment="1">
      <alignment horizontal="center"/>
    </xf>
    <xf numFmtId="9" fontId="7" fillId="0" borderId="0" xfId="1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3" fontId="6" fillId="0" borderId="2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5" fillId="2" borderId="0" xfId="0" applyFont="1" applyFill="1"/>
    <xf numFmtId="164" fontId="9" fillId="2" borderId="0" xfId="3" applyNumberFormat="1" applyFill="1" applyAlignment="1">
      <alignment horizontal="center"/>
    </xf>
    <xf numFmtId="0" fontId="9" fillId="2" borderId="0" xfId="3" applyFill="1"/>
    <xf numFmtId="3" fontId="9" fillId="2" borderId="2" xfId="3" applyNumberFormat="1" applyFill="1" applyBorder="1" applyAlignment="1">
      <alignment horizontal="center"/>
    </xf>
    <xf numFmtId="0" fontId="5" fillId="2" borderId="2" xfId="0" applyFont="1" applyFill="1" applyBorder="1"/>
    <xf numFmtId="165" fontId="15" fillId="2" borderId="2" xfId="3" applyNumberFormat="1" applyFont="1" applyFill="1" applyBorder="1"/>
    <xf numFmtId="165" fontId="5" fillId="0" borderId="0" xfId="1" applyNumberFormat="1" applyFont="1"/>
    <xf numFmtId="10" fontId="5" fillId="0" borderId="0" xfId="0" applyNumberFormat="1" applyFont="1"/>
    <xf numFmtId="0" fontId="9" fillId="2" borderId="0" xfId="3" applyFill="1" applyAlignment="1">
      <alignment horizontal="center"/>
    </xf>
    <xf numFmtId="2" fontId="5" fillId="2" borderId="0" xfId="0" applyNumberFormat="1" applyFont="1" applyFill="1"/>
    <xf numFmtId="165" fontId="15" fillId="2" borderId="0" xfId="3" applyNumberFormat="1" applyFont="1" applyFill="1"/>
    <xf numFmtId="9" fontId="16" fillId="2" borderId="0" xfId="1" applyFont="1" applyFill="1" applyAlignment="1">
      <alignment horizontal="center"/>
    </xf>
    <xf numFmtId="3" fontId="9" fillId="2" borderId="2" xfId="3" applyNumberFormat="1" applyFill="1" applyBorder="1"/>
    <xf numFmtId="164" fontId="9" fillId="2" borderId="2" xfId="3" applyNumberFormat="1" applyFill="1" applyBorder="1"/>
    <xf numFmtId="3" fontId="5" fillId="2" borderId="0" xfId="0" applyNumberFormat="1" applyFont="1" applyFill="1"/>
    <xf numFmtId="0" fontId="5" fillId="2" borderId="0" xfId="0" applyFont="1" applyFill="1" applyAlignment="1">
      <alignment horizontal="center"/>
    </xf>
    <xf numFmtId="9" fontId="5" fillId="2" borderId="0" xfId="1" applyFont="1" applyFill="1"/>
    <xf numFmtId="3" fontId="5" fillId="2" borderId="2" xfId="0" applyNumberFormat="1" applyFont="1" applyFill="1" applyBorder="1" applyAlignment="1">
      <alignment horizontal="center"/>
    </xf>
    <xf numFmtId="0" fontId="16" fillId="2" borderId="2" xfId="0" applyFont="1" applyFill="1" applyBorder="1" applyAlignment="1">
      <alignment horizontal="center"/>
    </xf>
    <xf numFmtId="164" fontId="18" fillId="2" borderId="0" xfId="3" applyNumberFormat="1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0" fontId="5" fillId="2" borderId="2" xfId="0" applyFont="1" applyFill="1" applyBorder="1" applyAlignment="1">
      <alignment horizontal="center"/>
    </xf>
    <xf numFmtId="9" fontId="16" fillId="2" borderId="2" xfId="1" applyFont="1" applyFill="1" applyBorder="1" applyAlignment="1">
      <alignment horizontal="center"/>
    </xf>
    <xf numFmtId="3" fontId="5" fillId="0" borderId="0" xfId="0" applyNumberFormat="1" applyFont="1"/>
    <xf numFmtId="165" fontId="20" fillId="2" borderId="2" xfId="3" applyNumberFormat="1" applyFont="1" applyFill="1" applyBorder="1"/>
    <xf numFmtId="9" fontId="16" fillId="2" borderId="0" xfId="1" applyFont="1" applyFill="1"/>
    <xf numFmtId="165" fontId="21" fillId="2" borderId="2" xfId="3" applyNumberFormat="1" applyFont="1" applyFill="1" applyBorder="1"/>
    <xf numFmtId="0" fontId="16" fillId="2" borderId="2" xfId="0" applyFont="1" applyFill="1" applyBorder="1"/>
    <xf numFmtId="1" fontId="5" fillId="2" borderId="2" xfId="0" applyNumberFormat="1" applyFont="1" applyFill="1" applyBorder="1"/>
    <xf numFmtId="0" fontId="22" fillId="2" borderId="2" xfId="0" applyFont="1" applyFill="1" applyBorder="1" applyAlignment="1">
      <alignment horizontal="left"/>
    </xf>
    <xf numFmtId="164" fontId="5" fillId="2" borderId="2" xfId="0" applyNumberFormat="1" applyFont="1" applyFill="1" applyBorder="1"/>
    <xf numFmtId="0" fontId="16" fillId="2" borderId="0" xfId="0" applyFont="1" applyFill="1"/>
    <xf numFmtId="0" fontId="16" fillId="2" borderId="0" xfId="0" applyFont="1" applyFill="1" applyAlignment="1">
      <alignment horizontal="right"/>
    </xf>
    <xf numFmtId="166" fontId="5" fillId="0" borderId="0" xfId="0" applyNumberFormat="1" applyFont="1"/>
    <xf numFmtId="165" fontId="16" fillId="0" borderId="0" xfId="1" applyNumberFormat="1" applyFont="1"/>
    <xf numFmtId="3" fontId="4" fillId="2" borderId="0" xfId="0" applyNumberFormat="1" applyFont="1" applyFill="1"/>
    <xf numFmtId="0" fontId="4" fillId="2" borderId="0" xfId="0" applyFont="1" applyFill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23" fillId="0" borderId="0" xfId="2" applyNumberFormat="1" applyFont="1" applyAlignment="1">
      <alignment horizontal="center"/>
    </xf>
    <xf numFmtId="3" fontId="24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19" fillId="0" borderId="0" xfId="0" applyFont="1"/>
    <xf numFmtId="0" fontId="4" fillId="0" borderId="2" xfId="0" applyFont="1" applyBorder="1" applyAlignment="1">
      <alignment horizontal="center"/>
    </xf>
    <xf numFmtId="164" fontId="6" fillId="0" borderId="2" xfId="0" applyNumberFormat="1" applyFont="1" applyBorder="1" applyAlignment="1">
      <alignment horizontal="center"/>
    </xf>
    <xf numFmtId="165" fontId="6" fillId="0" borderId="2" xfId="1" applyNumberFormat="1" applyFont="1" applyBorder="1"/>
    <xf numFmtId="3" fontId="19" fillId="0" borderId="0" xfId="0" applyNumberFormat="1" applyFont="1" applyAlignment="1">
      <alignment horizontal="center"/>
    </xf>
    <xf numFmtId="165" fontId="19" fillId="0" borderId="0" xfId="1" applyNumberFormat="1" applyFont="1" applyAlignment="1">
      <alignment horizontal="center"/>
    </xf>
    <xf numFmtId="0" fontId="24" fillId="0" borderId="0" xfId="0" applyFont="1" applyAlignment="1">
      <alignment horizontal="center"/>
    </xf>
    <xf numFmtId="164" fontId="24" fillId="0" borderId="0" xfId="0" applyNumberFormat="1" applyFont="1" applyAlignment="1">
      <alignment horizontal="center"/>
    </xf>
    <xf numFmtId="0" fontId="22" fillId="0" borderId="0" xfId="0" applyFont="1"/>
    <xf numFmtId="0" fontId="26" fillId="0" borderId="0" xfId="0" applyFont="1"/>
    <xf numFmtId="2" fontId="0" fillId="0" borderId="0" xfId="0" applyNumberFormat="1"/>
    <xf numFmtId="167" fontId="0" fillId="0" borderId="0" xfId="0" applyNumberFormat="1"/>
    <xf numFmtId="1" fontId="0" fillId="0" borderId="0" xfId="0" applyNumberFormat="1"/>
    <xf numFmtId="3" fontId="0" fillId="0" borderId="0" xfId="0" applyNumberFormat="1"/>
    <xf numFmtId="3" fontId="30" fillId="0" borderId="0" xfId="0" applyNumberFormat="1" applyFont="1"/>
    <xf numFmtId="2" fontId="30" fillId="0" borderId="0" xfId="0" applyNumberFormat="1" applyFont="1"/>
    <xf numFmtId="3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3" fontId="31" fillId="0" borderId="0" xfId="0" applyNumberFormat="1" applyFont="1" applyAlignment="1">
      <alignment horizontal="center" vertical="center"/>
    </xf>
    <xf numFmtId="164" fontId="23" fillId="0" borderId="0" xfId="2" applyNumberFormat="1" applyFont="1" applyFill="1" applyAlignment="1">
      <alignment horizontal="center"/>
    </xf>
    <xf numFmtId="0" fontId="3" fillId="0" borderId="2" xfId="0" applyFont="1" applyFill="1" applyBorder="1" applyAlignment="1">
      <alignment horizontal="center"/>
    </xf>
    <xf numFmtId="9" fontId="0" fillId="0" borderId="0" xfId="1" applyFont="1" applyAlignment="1">
      <alignment horizontal="center"/>
    </xf>
    <xf numFmtId="0" fontId="9" fillId="0" borderId="0" xfId="0" applyFont="1"/>
    <xf numFmtId="164" fontId="0" fillId="0" borderId="0" xfId="0" applyNumberFormat="1"/>
    <xf numFmtId="9" fontId="24" fillId="0" borderId="0" xfId="1" applyFont="1" applyAlignment="1">
      <alignment horizontal="center"/>
    </xf>
  </cellXfs>
  <cellStyles count="4">
    <cellStyle name="Normal" xfId="0" builtinId="0"/>
    <cellStyle name="Normal 2" xfId="2" xr:uid="{E075187C-1F50-4476-AB4A-E79ADEF98AD4}"/>
    <cellStyle name="Normal_Grinding-1_A" xfId="3" xr:uid="{F4D71699-511F-48A7-8480-38F77C35D1E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Descarga SAG A2 Chuqui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758092738407698"/>
          <c:y val="0.17171296296296296"/>
          <c:w val="0.7970441819772528"/>
          <c:h val="0.60977653834937295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'Densidad Ap'!$G$51:$G$60</c:f>
              <c:numCache>
                <c:formatCode>#,##0</c:formatCode>
                <c:ptCount val="10"/>
                <c:pt idx="0">
                  <c:v>30000</c:v>
                </c:pt>
                <c:pt idx="1">
                  <c:v>13000</c:v>
                </c:pt>
                <c:pt idx="2">
                  <c:v>10000</c:v>
                </c:pt>
                <c:pt idx="3">
                  <c:v>5000</c:v>
                </c:pt>
                <c:pt idx="4">
                  <c:v>2440</c:v>
                </c:pt>
                <c:pt idx="5">
                  <c:v>1170</c:v>
                </c:pt>
                <c:pt idx="6" formatCode="General">
                  <c:v>480</c:v>
                </c:pt>
                <c:pt idx="7" formatCode="General">
                  <c:v>235</c:v>
                </c:pt>
                <c:pt idx="8" formatCode="General">
                  <c:v>109</c:v>
                </c:pt>
                <c:pt idx="9" formatCode="General">
                  <c:v>45</c:v>
                </c:pt>
              </c:numCache>
            </c:numRef>
          </c:xVal>
          <c:yVal>
            <c:numRef>
              <c:f>'Densidad Ap'!$H$51:$H$60</c:f>
              <c:numCache>
                <c:formatCode>General</c:formatCode>
                <c:ptCount val="10"/>
                <c:pt idx="0">
                  <c:v>98</c:v>
                </c:pt>
                <c:pt idx="1">
                  <c:v>92</c:v>
                </c:pt>
                <c:pt idx="2">
                  <c:v>91</c:v>
                </c:pt>
                <c:pt idx="3">
                  <c:v>88</c:v>
                </c:pt>
                <c:pt idx="4">
                  <c:v>83</c:v>
                </c:pt>
                <c:pt idx="5">
                  <c:v>71</c:v>
                </c:pt>
                <c:pt idx="6">
                  <c:v>51</c:v>
                </c:pt>
                <c:pt idx="7">
                  <c:v>37</c:v>
                </c:pt>
                <c:pt idx="8">
                  <c:v>27</c:v>
                </c:pt>
                <c:pt idx="9">
                  <c:v>19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D48-49C1-84A3-4F7B8759EF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574408"/>
        <c:axId val="513567848"/>
      </c:scatterChart>
      <c:valAx>
        <c:axId val="513574408"/>
        <c:scaling>
          <c:logBase val="10"/>
          <c:orientation val="minMax"/>
          <c:min val="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3567848"/>
        <c:crosses val="autoZero"/>
        <c:crossBetween val="midCat"/>
      </c:valAx>
      <c:valAx>
        <c:axId val="51356784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3574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7" Type="http://schemas.openxmlformats.org/officeDocument/2006/relationships/image" Target="../media/image20.png"/><Relationship Id="rId2" Type="http://schemas.openxmlformats.org/officeDocument/2006/relationships/image" Target="../media/image15.png"/><Relationship Id="rId1" Type="http://schemas.openxmlformats.org/officeDocument/2006/relationships/image" Target="../media/image14.png"/><Relationship Id="rId6" Type="http://schemas.openxmlformats.org/officeDocument/2006/relationships/image" Target="../media/image19.png"/><Relationship Id="rId5" Type="http://schemas.openxmlformats.org/officeDocument/2006/relationships/image" Target="../media/image18.png"/><Relationship Id="rId4" Type="http://schemas.openxmlformats.org/officeDocument/2006/relationships/image" Target="../media/image17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png"/><Relationship Id="rId2" Type="http://schemas.openxmlformats.org/officeDocument/2006/relationships/image" Target="../media/image22.png"/><Relationship Id="rId1" Type="http://schemas.openxmlformats.org/officeDocument/2006/relationships/image" Target="../media/image21.png"/><Relationship Id="rId5" Type="http://schemas.openxmlformats.org/officeDocument/2006/relationships/chart" Target="../charts/chart1.xml"/><Relationship Id="rId4" Type="http://schemas.openxmlformats.org/officeDocument/2006/relationships/image" Target="../media/image2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13</xdr:col>
      <xdr:colOff>132190</xdr:colOff>
      <xdr:row>33</xdr:row>
      <xdr:rowOff>45926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C8311335-EC3F-4D99-8B69-C06A5503F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762000"/>
          <a:ext cx="9276190" cy="271292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34</xdr:row>
      <xdr:rowOff>93889</xdr:rowOff>
    </xdr:from>
    <xdr:to>
      <xdr:col>12</xdr:col>
      <xdr:colOff>713238</xdr:colOff>
      <xdr:row>59</xdr:row>
      <xdr:rowOff>138196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AE0B2BFD-FC8D-4F5B-A17B-E469C56F7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0" y="6570889"/>
          <a:ext cx="9095238" cy="4806807"/>
        </a:xfrm>
        <a:prstGeom prst="rect">
          <a:avLst/>
        </a:prstGeom>
      </xdr:spPr>
    </xdr:pic>
    <xdr:clientData/>
  </xdr:twoCellAnchor>
  <xdr:twoCellAnchor editAs="oneCell">
    <xdr:from>
      <xdr:col>1</xdr:col>
      <xdr:colOff>6804</xdr:colOff>
      <xdr:row>60</xdr:row>
      <xdr:rowOff>110218</xdr:rowOff>
    </xdr:from>
    <xdr:to>
      <xdr:col>9</xdr:col>
      <xdr:colOff>596518</xdr:colOff>
      <xdr:row>68</xdr:row>
      <xdr:rowOff>157647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1D600B7A-DEF4-4C90-A090-D9DC0B64C4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8804" y="11540218"/>
          <a:ext cx="6685714" cy="157142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10</xdr:col>
      <xdr:colOff>589714</xdr:colOff>
      <xdr:row>7</xdr:row>
      <xdr:rowOff>57000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0F91C02-FB36-412A-8572-42A1A750C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24000" y="190500"/>
          <a:ext cx="6685714" cy="1200000"/>
        </a:xfrm>
        <a:prstGeom prst="rect">
          <a:avLst/>
        </a:prstGeom>
      </xdr:spPr>
    </xdr:pic>
    <xdr:clientData/>
  </xdr:twoCellAnchor>
  <xdr:twoCellAnchor editAs="oneCell">
    <xdr:from>
      <xdr:col>5</xdr:col>
      <xdr:colOff>604157</xdr:colOff>
      <xdr:row>9</xdr:row>
      <xdr:rowOff>110218</xdr:rowOff>
    </xdr:from>
    <xdr:to>
      <xdr:col>9</xdr:col>
      <xdr:colOff>479966</xdr:colOff>
      <xdr:row>19</xdr:row>
      <xdr:rowOff>138551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32D3B71-B2A2-476E-8556-359DD583FF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414157" y="1824718"/>
          <a:ext cx="2923809" cy="1933333"/>
        </a:xfrm>
        <a:prstGeom prst="rect">
          <a:avLst/>
        </a:prstGeom>
      </xdr:spPr>
    </xdr:pic>
    <xdr:clientData/>
  </xdr:twoCellAnchor>
  <xdr:twoCellAnchor editAs="oneCell">
    <xdr:from>
      <xdr:col>15</xdr:col>
      <xdr:colOff>476250</xdr:colOff>
      <xdr:row>1</xdr:row>
      <xdr:rowOff>0</xdr:rowOff>
    </xdr:from>
    <xdr:to>
      <xdr:col>20</xdr:col>
      <xdr:colOff>94821</xdr:colOff>
      <xdr:row>28</xdr:row>
      <xdr:rowOff>151738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7DA94BB-FBC8-4E5E-99B6-004B31C4F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906250" y="190500"/>
          <a:ext cx="3428571" cy="5295238"/>
        </a:xfrm>
        <a:prstGeom prst="rect">
          <a:avLst/>
        </a:prstGeom>
      </xdr:spPr>
    </xdr:pic>
    <xdr:clientData/>
  </xdr:twoCellAnchor>
  <xdr:oneCellAnchor>
    <xdr:from>
      <xdr:col>1</xdr:col>
      <xdr:colOff>587829</xdr:colOff>
      <xdr:row>31</xdr:row>
      <xdr:rowOff>125186</xdr:rowOff>
    </xdr:from>
    <xdr:ext cx="6057901" cy="38036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CuadroTexto 7">
              <a:extLst>
                <a:ext uri="{FF2B5EF4-FFF2-40B4-BE49-F238E27FC236}">
                  <a16:creationId xmlns:a16="http://schemas.microsoft.com/office/drawing/2014/main" id="{44C0FFCD-9F88-4674-A777-576EAAC824AB}"/>
                </a:ext>
              </a:extLst>
            </xdr:cNvPr>
            <xdr:cNvSpPr txBox="1"/>
          </xdr:nvSpPr>
          <xdr:spPr>
            <a:xfrm>
              <a:off x="1349829" y="6030686"/>
              <a:ext cx="6057901" cy="38036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s-ES" sz="1100" b="0" i="1">
                        <a:latin typeface="Cambria Math" panose="02040503050406030204" pitchFamily="18" charset="0"/>
                      </a:rPr>
                      <m:t>𝑃</m:t>
                    </m:r>
                    <m:r>
                      <a:rPr lang="es-ES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=</m:t>
                    </m:r>
                    <m:r>
                      <a:rPr lang="es-ES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𝐾</m:t>
                    </m:r>
                    <m:sSup>
                      <m:sSupPr>
                        <m:ctrlP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𝐷</m:t>
                        </m:r>
                      </m:e>
                      <m:sup>
                        <m: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2.5</m:t>
                        </m:r>
                      </m:sup>
                    </m:sSup>
                    <m:r>
                      <a:rPr lang="es-ES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𝐿</m:t>
                    </m:r>
                    <m:d>
                      <m:dPr>
                        <m:ctrlP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1−</m:t>
                        </m:r>
                        <m:sSub>
                          <m:sSubPr>
                            <m:ctrlP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𝐴𝐽</m:t>
                            </m:r>
                          </m:e>
                          <m:sub>
                            <m: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𝑡𝑜𝑡𝑎𝑙</m:t>
                            </m:r>
                          </m:sub>
                        </m:sSub>
                      </m:e>
                    </m:d>
                    <m:d>
                      <m:dPr>
                        <m:begChr m:val="["/>
                        <m:endChr m:val="]"/>
                        <m:ctrlP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dPr>
                      <m:e>
                        <m:d>
                          <m:dPr>
                            <m:ctrlP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1−</m:t>
                            </m:r>
                            <m:sSub>
                              <m:sSubPr>
                                <m:ctrlP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𝜀</m:t>
                                </m:r>
                              </m:e>
                              <m:sub>
                                <m: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𝐵</m:t>
                                </m:r>
                              </m:sub>
                            </m:sSub>
                          </m:e>
                        </m:d>
                        <m:d>
                          <m:dPr>
                            <m:ctrlP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dPr>
                          <m:e>
                            <m:f>
                              <m:fPr>
                                <m:ctrlP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𝜌</m:t>
                                    </m:r>
                                  </m:e>
                                  <m:sub>
                                    <m: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𝑠𝑜𝑙𝑖𝑑𝑠</m:t>
                                    </m:r>
                                  </m:sub>
                                </m:sSub>
                              </m:num>
                              <m:den>
                                <m:sSub>
                                  <m:sSubPr>
                                    <m:ctrlP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𝑊</m:t>
                                    </m:r>
                                  </m:e>
                                  <m:sub>
                                    <m: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𝐶</m:t>
                                    </m:r>
                                  </m:sub>
                                </m:sSub>
                              </m:den>
                            </m:f>
                          </m:e>
                        </m:d>
                        <m:sSub>
                          <m:sSubPr>
                            <m:ctrlP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𝐽</m:t>
                            </m:r>
                          </m:e>
                          <m:sub>
                            <m: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𝑡𝑜𝑡𝑎𝑙</m:t>
                            </m:r>
                            <m: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 </m:t>
                            </m:r>
                          </m:sub>
                        </m:sSub>
                        <m: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+0.6</m:t>
                        </m:r>
                        <m:sSub>
                          <m:sSubPr>
                            <m:ctrlP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𝐽</m:t>
                            </m:r>
                          </m:e>
                          <m:sub>
                            <m: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𝑏𝑎𝑙𝑙𝑠</m:t>
                            </m:r>
                          </m:sub>
                        </m:sSub>
                        <m:d>
                          <m:dPr>
                            <m:ctrlP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dPr>
                          <m:e>
                            <m:sSub>
                              <m:sSubPr>
                                <m:ctrlP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𝜌</m:t>
                                </m:r>
                              </m:e>
                              <m:sub>
                                <m: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𝑏𝑎𝑙𝑙𝑠</m:t>
                                </m:r>
                              </m:sub>
                            </m:sSub>
                            <m: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−</m:t>
                            </m:r>
                            <m:f>
                              <m:fPr>
                                <m:ctrlP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𝜌</m:t>
                                    </m:r>
                                  </m:e>
                                  <m:sub>
                                    <m: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𝑠𝑜𝑙𝑖𝑑𝑠</m:t>
                                    </m:r>
                                  </m:sub>
                                </m:sSub>
                              </m:num>
                              <m:den>
                                <m:sSub>
                                  <m:sSubPr>
                                    <m:ctrlP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𝑊</m:t>
                                    </m:r>
                                  </m:e>
                                  <m:sub>
                                    <m: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𝐶</m:t>
                                    </m:r>
                                  </m:sub>
                                </m:sSub>
                              </m:den>
                            </m:f>
                          </m:e>
                        </m:d>
                      </m:e>
                    </m:d>
                    <m:sSub>
                      <m:sSubPr>
                        <m:ctrlP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∅</m:t>
                        </m:r>
                      </m:e>
                      <m:sub>
                        <m: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𝐶</m:t>
                        </m:r>
                      </m:sub>
                    </m:sSub>
                    <m:d>
                      <m:dPr>
                        <m:ctrlP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s-ES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1−</m:t>
                        </m:r>
                        <m:f>
                          <m:fPr>
                            <m:ctrlP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s-ES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0.1</m:t>
                            </m:r>
                          </m:num>
                          <m:den>
                            <m:sSup>
                              <m:sSupPr>
                                <m:ctrlP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pPr>
                              <m:e>
                                <m: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2</m:t>
                                </m:r>
                              </m:e>
                              <m:sup>
                                <m:r>
                                  <a:rPr lang="es-ES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9−10</m:t>
                                </m:r>
                                <m:sSub>
                                  <m:sSubPr>
                                    <m:ctrlP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∅</m:t>
                                    </m:r>
                                  </m:e>
                                  <m:sub>
                                    <m:r>
                                      <a:rPr lang="es-ES" sz="11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𝐶</m:t>
                                    </m:r>
                                  </m:sub>
                                </m:sSub>
                              </m:sup>
                            </m:sSup>
                          </m:den>
                        </m:f>
                      </m:e>
                    </m:d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CuadroTexto 7">
              <a:extLst>
                <a:ext uri="{FF2B5EF4-FFF2-40B4-BE49-F238E27FC236}">
                  <a16:creationId xmlns:a16="http://schemas.microsoft.com/office/drawing/2014/main" id="{44C0FFCD-9F88-4674-A777-576EAAC824AB}"/>
                </a:ext>
              </a:extLst>
            </xdr:cNvPr>
            <xdr:cNvSpPr txBox="1"/>
          </xdr:nvSpPr>
          <xdr:spPr>
            <a:xfrm>
              <a:off x="1349829" y="6030686"/>
              <a:ext cx="6057901" cy="38036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s-ES" sz="1100" b="0" i="0">
                  <a:latin typeface="Cambria Math" panose="02040503050406030204" pitchFamily="18" charset="0"/>
                </a:rPr>
                <a:t>𝑃</a:t>
              </a:r>
              <a:r>
                <a:rPr lang="es-ES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=𝐾𝐷^2.5 𝐿(1−〖𝐴𝐽〗_𝑡𝑜𝑡𝑎𝑙 )[(1−𝜀_𝐵 )(𝜌_𝑠𝑜𝑙𝑖𝑑𝑠/𝑊_𝐶 ) 𝐽_(𝑡𝑜𝑡𝑎𝑙 )+0.6𝐽_𝑏𝑎𝑙𝑙𝑠 (𝜌_𝑏𝑎𝑙𝑙𝑠−𝜌_𝑠𝑜𝑙𝑖𝑑𝑠/𝑊_𝐶 )] ∅_𝐶 (1−0.1/2^(9−10∅_𝐶 ) )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95250</xdr:colOff>
      <xdr:row>0</xdr:row>
      <xdr:rowOff>85725</xdr:rowOff>
    </xdr:from>
    <xdr:to>
      <xdr:col>11</xdr:col>
      <xdr:colOff>161440</xdr:colOff>
      <xdr:row>9</xdr:row>
      <xdr:rowOff>171225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69CCE9C-15FF-4C43-86B0-20A6335E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33975" y="85725"/>
          <a:ext cx="3876190" cy="180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542925</xdr:colOff>
      <xdr:row>3</xdr:row>
      <xdr:rowOff>142875</xdr:rowOff>
    </xdr:from>
    <xdr:to>
      <xdr:col>16</xdr:col>
      <xdr:colOff>456734</xdr:colOff>
      <xdr:row>31</xdr:row>
      <xdr:rowOff>142208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18560C9-587A-4DD8-998D-3428C9364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91650" y="714375"/>
          <a:ext cx="3723809" cy="5333333"/>
        </a:xfrm>
        <a:prstGeom prst="rect">
          <a:avLst/>
        </a:prstGeom>
      </xdr:spPr>
    </xdr:pic>
    <xdr:clientData/>
  </xdr:twoCellAnchor>
  <xdr:oneCellAnchor>
    <xdr:from>
      <xdr:col>6</xdr:col>
      <xdr:colOff>504825</xdr:colOff>
      <xdr:row>11</xdr:row>
      <xdr:rowOff>133350</xdr:rowOff>
    </xdr:from>
    <xdr:ext cx="2682907" cy="91440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0E028054-AD96-4D63-84DD-50EC079E9843}"/>
                </a:ext>
              </a:extLst>
            </xdr:cNvPr>
            <xdr:cNvSpPr txBox="1"/>
          </xdr:nvSpPr>
          <xdr:spPr>
            <a:xfrm>
              <a:off x="5543550" y="2228850"/>
              <a:ext cx="2682907" cy="91440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s-ES" sz="2400" b="0" i="1">
                        <a:latin typeface="Cambria Math" panose="02040503050406030204" pitchFamily="18" charset="0"/>
                      </a:rPr>
                      <m:t>𝐷𝑒𝑔</m:t>
                    </m:r>
                    <m:r>
                      <a:rPr lang="es-CL" sz="240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s-CL" sz="24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s-ES" sz="2400" b="0" i="1">
                            <a:latin typeface="Cambria Math" panose="02040503050406030204" pitchFamily="18" charset="0"/>
                          </a:rPr>
                          <m:t>180</m:t>
                        </m:r>
                        <m:r>
                          <a:rPr lang="es-ES" sz="2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∙</m:t>
                        </m:r>
                        <m:r>
                          <a:rPr lang="es-ES" sz="2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𝑅𝑎𝑑</m:t>
                        </m:r>
                      </m:num>
                      <m:den>
                        <m:r>
                          <a:rPr lang="es-CL" sz="240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𝜋</m:t>
                        </m:r>
                      </m:den>
                    </m:f>
                  </m:oMath>
                </m:oMathPara>
              </a14:m>
              <a:endParaRPr lang="es-CL" sz="2400"/>
            </a:p>
          </xdr:txBody>
        </xdr:sp>
      </mc:Choice>
      <mc:Fallback xmlns=""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0E028054-AD96-4D63-84DD-50EC079E9843}"/>
                </a:ext>
              </a:extLst>
            </xdr:cNvPr>
            <xdr:cNvSpPr txBox="1"/>
          </xdr:nvSpPr>
          <xdr:spPr>
            <a:xfrm>
              <a:off x="5543550" y="2228850"/>
              <a:ext cx="2682907" cy="91440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:r>
                <a:rPr lang="es-ES" sz="2400" b="0" i="0">
                  <a:latin typeface="Cambria Math" panose="02040503050406030204" pitchFamily="18" charset="0"/>
                </a:rPr>
                <a:t>𝐷𝑒𝑔</a:t>
              </a:r>
              <a:r>
                <a:rPr lang="es-CL" sz="2400" i="0">
                  <a:latin typeface="Cambria Math" panose="02040503050406030204" pitchFamily="18" charset="0"/>
                </a:rPr>
                <a:t>=(</a:t>
              </a:r>
              <a:r>
                <a:rPr lang="es-ES" sz="2400" b="0" i="0">
                  <a:latin typeface="Cambria Math" panose="02040503050406030204" pitchFamily="18" charset="0"/>
                </a:rPr>
                <a:t>180</a:t>
              </a:r>
              <a:r>
                <a:rPr lang="es-ES" sz="24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∙𝑅𝑎𝑑</a:t>
              </a:r>
              <a:r>
                <a:rPr lang="es-CL" sz="24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)/</a:t>
              </a:r>
              <a:r>
                <a:rPr lang="es-CL" sz="240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</a:t>
              </a:r>
              <a:endParaRPr lang="es-CL" sz="24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333375</xdr:colOff>
      <xdr:row>1</xdr:row>
      <xdr:rowOff>104775</xdr:rowOff>
    </xdr:from>
    <xdr:to>
      <xdr:col>15</xdr:col>
      <xdr:colOff>256327</xdr:colOff>
      <xdr:row>26</xdr:row>
      <xdr:rowOff>123537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A442F29-FC6E-47E7-82E5-3AB73E49237F}"/>
            </a:ext>
          </a:extLst>
        </xdr:cNvPr>
        <xdr:cNvGrpSpPr/>
      </xdr:nvGrpSpPr>
      <xdr:grpSpPr>
        <a:xfrm>
          <a:off x="6124575" y="295275"/>
          <a:ext cx="6780952" cy="5152737"/>
          <a:chOff x="6124575" y="295275"/>
          <a:chExt cx="6780952" cy="5152737"/>
        </a:xfrm>
      </xdr:grpSpPr>
      <xdr:pic>
        <xdr:nvPicPr>
          <xdr:cNvPr id="2" name="3 Imagen">
            <a:extLst>
              <a:ext uri="{FF2B5EF4-FFF2-40B4-BE49-F238E27FC236}">
                <a16:creationId xmlns:a16="http://schemas.microsoft.com/office/drawing/2014/main" id="{B95E5185-1C4A-41BA-BE26-EF7779D222E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124575" y="295275"/>
            <a:ext cx="6780952" cy="5152737"/>
          </a:xfrm>
          <a:prstGeom prst="rect">
            <a:avLst/>
          </a:prstGeom>
        </xdr:spPr>
      </xdr:pic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F7B79B29-8928-4835-A760-E947CAFE930D}"/>
              </a:ext>
            </a:extLst>
          </xdr:cNvPr>
          <xdr:cNvSpPr/>
        </xdr:nvSpPr>
        <xdr:spPr>
          <a:xfrm>
            <a:off x="8820150" y="4924425"/>
            <a:ext cx="742950" cy="276225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L" sz="1100"/>
          </a:p>
        </xdr:txBody>
      </xdr:sp>
    </xdr:grpSp>
    <xdr:clientData/>
  </xdr:twoCellAnchor>
  <xdr:twoCellAnchor>
    <xdr:from>
      <xdr:col>4</xdr:col>
      <xdr:colOff>19050</xdr:colOff>
      <xdr:row>25</xdr:row>
      <xdr:rowOff>57150</xdr:rowOff>
    </xdr:from>
    <xdr:to>
      <xdr:col>9</xdr:col>
      <xdr:colOff>733425</xdr:colOff>
      <xdr:row>25</xdr:row>
      <xdr:rowOff>57150</xdr:rowOff>
    </xdr:to>
    <xdr:cxnSp macro="">
      <xdr:nvCxnSpPr>
        <xdr:cNvPr id="6" name="Conector recto de flecha 5">
          <a:extLst>
            <a:ext uri="{FF2B5EF4-FFF2-40B4-BE49-F238E27FC236}">
              <a16:creationId xmlns:a16="http://schemas.microsoft.com/office/drawing/2014/main" id="{524A08BB-071D-48F1-B998-30F2BC9387DC}"/>
            </a:ext>
          </a:extLst>
        </xdr:cNvPr>
        <xdr:cNvCxnSpPr/>
      </xdr:nvCxnSpPr>
      <xdr:spPr>
        <a:xfrm flipV="1">
          <a:off x="4286250" y="5172075"/>
          <a:ext cx="4524375" cy="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504825</xdr:colOff>
      <xdr:row>19</xdr:row>
      <xdr:rowOff>152400</xdr:rowOff>
    </xdr:from>
    <xdr:to>
      <xdr:col>22</xdr:col>
      <xdr:colOff>666254</xdr:colOff>
      <xdr:row>31</xdr:row>
      <xdr:rowOff>85427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6850993-E5DB-45EF-8775-86521BB4C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449550" y="4029075"/>
          <a:ext cx="3971429" cy="238095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76200</xdr:colOff>
      <xdr:row>1</xdr:row>
      <xdr:rowOff>171450</xdr:rowOff>
    </xdr:from>
    <xdr:to>
      <xdr:col>17</xdr:col>
      <xdr:colOff>666105</xdr:colOff>
      <xdr:row>22</xdr:row>
      <xdr:rowOff>56629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B8C45C-D7FF-4672-8C0A-0D92920BE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77400" y="361950"/>
          <a:ext cx="5161905" cy="4171429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114300</xdr:colOff>
      <xdr:row>23</xdr:row>
      <xdr:rowOff>85725</xdr:rowOff>
    </xdr:from>
    <xdr:to>
      <xdr:col>16</xdr:col>
      <xdr:colOff>132871</xdr:colOff>
      <xdr:row>25</xdr:row>
      <xdr:rowOff>85673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D034B87-B73E-4A43-A825-59B73C05B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15500" y="4772025"/>
          <a:ext cx="3828571" cy="419048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22</xdr:col>
      <xdr:colOff>189143</xdr:colOff>
      <xdr:row>71</xdr:row>
      <xdr:rowOff>179926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B1DF55C-F818-431D-B2E8-75F0AE390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15200" y="5724525"/>
          <a:ext cx="10857143" cy="8390476"/>
        </a:xfrm>
        <a:prstGeom prst="rect">
          <a:avLst/>
        </a:prstGeom>
      </xdr:spPr>
    </xdr:pic>
    <xdr:clientData/>
  </xdr:twoCellAnchor>
  <xdr:twoCellAnchor>
    <xdr:from>
      <xdr:col>9</xdr:col>
      <xdr:colOff>257175</xdr:colOff>
      <xdr:row>62</xdr:row>
      <xdr:rowOff>180975</xdr:rowOff>
    </xdr:from>
    <xdr:to>
      <xdr:col>15</xdr:col>
      <xdr:colOff>581025</xdr:colOff>
      <xdr:row>63</xdr:row>
      <xdr:rowOff>180975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6F67AAF-B1F8-4CE8-B35B-3F3611B2974C}"/>
            </a:ext>
          </a:extLst>
        </xdr:cNvPr>
        <xdr:cNvSpPr/>
      </xdr:nvSpPr>
      <xdr:spPr>
        <a:xfrm>
          <a:off x="8334375" y="12401550"/>
          <a:ext cx="4895850" cy="1905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L" sz="1100"/>
        </a:p>
      </xdr:txBody>
    </xdr:sp>
    <xdr:clientData/>
  </xdr:twoCellAnchor>
  <xdr:twoCellAnchor>
    <xdr:from>
      <xdr:col>14</xdr:col>
      <xdr:colOff>28575</xdr:colOff>
      <xdr:row>45</xdr:row>
      <xdr:rowOff>47625</xdr:rowOff>
    </xdr:from>
    <xdr:to>
      <xdr:col>15</xdr:col>
      <xdr:colOff>628650</xdr:colOff>
      <xdr:row>64</xdr:row>
      <xdr:rowOff>57150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3C2FB945-E1E8-4262-ACB5-250E02F76103}"/>
            </a:ext>
          </a:extLst>
        </xdr:cNvPr>
        <xdr:cNvSpPr/>
      </xdr:nvSpPr>
      <xdr:spPr>
        <a:xfrm>
          <a:off x="11915775" y="9029700"/>
          <a:ext cx="1362075" cy="36290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L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321128</xdr:colOff>
      <xdr:row>40</xdr:row>
      <xdr:rowOff>50346</xdr:rowOff>
    </xdr:from>
    <xdr:to>
      <xdr:col>18</xdr:col>
      <xdr:colOff>500866</xdr:colOff>
      <xdr:row>102</xdr:row>
      <xdr:rowOff>113865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81A31C87-B987-4B11-8CF3-84745918C3BC}"/>
            </a:ext>
          </a:extLst>
        </xdr:cNvPr>
        <xdr:cNvGrpSpPr/>
      </xdr:nvGrpSpPr>
      <xdr:grpSpPr>
        <a:xfrm>
          <a:off x="6036128" y="8119382"/>
          <a:ext cx="10085738" cy="11874519"/>
          <a:chOff x="5562600" y="1609725"/>
          <a:chExt cx="10085738" cy="11896290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B68AD251-B8F3-4D64-9348-50611E6694E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5562600" y="1609725"/>
            <a:ext cx="9828571" cy="3809527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5FB27BEB-DED9-46D2-B5D6-D640B9E9E21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5753100" y="5486400"/>
            <a:ext cx="9809524" cy="4952382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1A726C8-90EF-4C93-8B4C-0E1790A5D4E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5753100" y="10029825"/>
            <a:ext cx="9895238" cy="3476190"/>
          </a:xfrm>
          <a:prstGeom prst="rect">
            <a:avLst/>
          </a:prstGeom>
        </xdr:spPr>
      </xdr:pic>
    </xdr:grpSp>
    <xdr:clientData/>
  </xdr:twoCellAnchor>
  <xdr:twoCellAnchor editAs="oneCell">
    <xdr:from>
      <xdr:col>8</xdr:col>
      <xdr:colOff>38100</xdr:colOff>
      <xdr:row>2</xdr:row>
      <xdr:rowOff>38100</xdr:rowOff>
    </xdr:from>
    <xdr:to>
      <xdr:col>13</xdr:col>
      <xdr:colOff>190005</xdr:colOff>
      <xdr:row>11</xdr:row>
      <xdr:rowOff>190257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9E25B56-CA08-4D8A-8876-7F6A34006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077200" y="419100"/>
          <a:ext cx="3961905" cy="1866657"/>
        </a:xfrm>
        <a:prstGeom prst="rect">
          <a:avLst/>
        </a:prstGeom>
      </xdr:spPr>
    </xdr:pic>
    <xdr:clientData/>
  </xdr:twoCellAnchor>
  <xdr:twoCellAnchor editAs="oneCell">
    <xdr:from>
      <xdr:col>9</xdr:col>
      <xdr:colOff>530678</xdr:colOff>
      <xdr:row>12</xdr:row>
      <xdr:rowOff>68036</xdr:rowOff>
    </xdr:from>
    <xdr:to>
      <xdr:col>10</xdr:col>
      <xdr:colOff>759154</xdr:colOff>
      <xdr:row>13</xdr:row>
      <xdr:rowOff>106106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CFDDEF7-0514-42F0-A031-97F29FF03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93678" y="2490107"/>
          <a:ext cx="990476" cy="242178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14</xdr:col>
      <xdr:colOff>313524</xdr:colOff>
      <xdr:row>20</xdr:row>
      <xdr:rowOff>202584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950CEFA-5725-4632-BCA9-D74539BA0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477000" y="3034393"/>
          <a:ext cx="6409524" cy="1304762"/>
        </a:xfrm>
        <a:prstGeom prst="rect">
          <a:avLst/>
        </a:prstGeom>
      </xdr:spPr>
    </xdr:pic>
    <xdr:clientData/>
  </xdr:twoCellAnchor>
  <xdr:twoCellAnchor editAs="oneCell">
    <xdr:from>
      <xdr:col>14</xdr:col>
      <xdr:colOff>462643</xdr:colOff>
      <xdr:row>1</xdr:row>
      <xdr:rowOff>149679</xdr:rowOff>
    </xdr:from>
    <xdr:to>
      <xdr:col>20</xdr:col>
      <xdr:colOff>109691</xdr:colOff>
      <xdr:row>13</xdr:row>
      <xdr:rowOff>133048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FBE5F85-8DE3-4930-A5AE-23469D2FA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035643" y="340179"/>
          <a:ext cx="4219048" cy="2419048"/>
        </a:xfrm>
        <a:prstGeom prst="rect">
          <a:avLst/>
        </a:prstGeom>
      </xdr:spPr>
    </xdr:pic>
    <xdr:clientData/>
  </xdr:twoCellAnchor>
  <xdr:oneCellAnchor>
    <xdr:from>
      <xdr:col>6</xdr:col>
      <xdr:colOff>149679</xdr:colOff>
      <xdr:row>34</xdr:row>
      <xdr:rowOff>122464</xdr:rowOff>
    </xdr:from>
    <xdr:ext cx="7600950" cy="48404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CuadroTexto 9">
              <a:extLst>
                <a:ext uri="{FF2B5EF4-FFF2-40B4-BE49-F238E27FC236}">
                  <a16:creationId xmlns:a16="http://schemas.microsoft.com/office/drawing/2014/main" id="{1780C7AC-4DEB-46D6-A6E0-BFD96B25FE53}"/>
                </a:ext>
              </a:extLst>
            </xdr:cNvPr>
            <xdr:cNvSpPr txBox="1"/>
          </xdr:nvSpPr>
          <xdr:spPr>
            <a:xfrm>
              <a:off x="6626679" y="7048500"/>
              <a:ext cx="7600950" cy="48404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s-ES" sz="1400" b="0" i="1">
                        <a:latin typeface="Cambria Math" panose="02040503050406030204" pitchFamily="18" charset="0"/>
                      </a:rPr>
                      <m:t>𝑃</m:t>
                    </m:r>
                    <m:r>
                      <a:rPr lang="es-ES" sz="14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=</m:t>
                    </m:r>
                    <m:r>
                      <a:rPr lang="es-ES" sz="14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𝐾</m:t>
                    </m:r>
                    <m:sSup>
                      <m:sSupPr>
                        <m:ctrlP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𝐷</m:t>
                        </m:r>
                      </m:e>
                      <m:sup>
                        <m: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2.5</m:t>
                        </m:r>
                      </m:sup>
                    </m:sSup>
                    <m:r>
                      <a:rPr lang="es-ES" sz="14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𝐿</m:t>
                    </m:r>
                    <m:d>
                      <m:dPr>
                        <m:ctrlP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1−</m:t>
                        </m:r>
                        <m:sSub>
                          <m:sSubPr>
                            <m:ctrlP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𝐴𝐽</m:t>
                            </m:r>
                          </m:e>
                          <m:sub>
                            <m: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𝑡𝑜𝑡𝑎𝑙</m:t>
                            </m:r>
                          </m:sub>
                        </m:sSub>
                      </m:e>
                    </m:d>
                    <m:d>
                      <m:dPr>
                        <m:begChr m:val="["/>
                        <m:endChr m:val="]"/>
                        <m:ctrlP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dPr>
                      <m:e>
                        <m:d>
                          <m:dPr>
                            <m:ctrlP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1−</m:t>
                            </m:r>
                            <m:sSub>
                              <m:sSubPr>
                                <m:ctrlP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𝜀</m:t>
                                </m:r>
                              </m:e>
                              <m:sub>
                                <m: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𝐵</m:t>
                                </m:r>
                              </m:sub>
                            </m:sSub>
                          </m:e>
                        </m:d>
                        <m:d>
                          <m:dPr>
                            <m:ctrlP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dPr>
                          <m:e>
                            <m:f>
                              <m:fPr>
                                <m:ctrlP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𝜌</m:t>
                                    </m:r>
                                  </m:e>
                                  <m:sub>
                                    <m: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𝑠𝑜𝑙𝑖𝑑𝑠</m:t>
                                    </m:r>
                                  </m:sub>
                                </m:sSub>
                              </m:num>
                              <m:den>
                                <m:sSub>
                                  <m:sSubPr>
                                    <m:ctrlP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𝑊</m:t>
                                    </m:r>
                                  </m:e>
                                  <m:sub>
                                    <m: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𝐶</m:t>
                                    </m:r>
                                  </m:sub>
                                </m:sSub>
                              </m:den>
                            </m:f>
                          </m:e>
                        </m:d>
                        <m:sSub>
                          <m:sSubPr>
                            <m:ctrlP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𝐽</m:t>
                            </m:r>
                          </m:e>
                          <m:sub>
                            <m: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𝑡𝑜𝑡𝑎𝑙</m:t>
                            </m:r>
                            <m: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 </m:t>
                            </m:r>
                          </m:sub>
                        </m:sSub>
                        <m: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+0.6</m:t>
                        </m:r>
                        <m:sSub>
                          <m:sSubPr>
                            <m:ctrlP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𝐽</m:t>
                            </m:r>
                          </m:e>
                          <m:sub>
                            <m: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𝑏𝑎𝑙𝑙𝑠</m:t>
                            </m:r>
                          </m:sub>
                        </m:sSub>
                        <m:d>
                          <m:dPr>
                            <m:ctrlP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dPr>
                          <m:e>
                            <m:sSub>
                              <m:sSubPr>
                                <m:ctrlP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𝜌</m:t>
                                </m:r>
                              </m:e>
                              <m:sub>
                                <m: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𝑏𝑎𝑙𝑙𝑠</m:t>
                                </m:r>
                              </m:sub>
                            </m:sSub>
                            <m: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−</m:t>
                            </m:r>
                            <m:f>
                              <m:fPr>
                                <m:ctrlP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𝜌</m:t>
                                    </m:r>
                                  </m:e>
                                  <m:sub>
                                    <m: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𝑠𝑜𝑙𝑖𝑑𝑠</m:t>
                                    </m:r>
                                  </m:sub>
                                </m:sSub>
                              </m:num>
                              <m:den>
                                <m:sSub>
                                  <m:sSubPr>
                                    <m:ctrlP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𝑊</m:t>
                                    </m:r>
                                  </m:e>
                                  <m:sub>
                                    <m: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𝐶</m:t>
                                    </m:r>
                                  </m:sub>
                                </m:sSub>
                              </m:den>
                            </m:f>
                          </m:e>
                        </m:d>
                      </m:e>
                    </m:d>
                    <m:sSub>
                      <m:sSubPr>
                        <m:ctrlP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∅</m:t>
                        </m:r>
                      </m:e>
                      <m:sub>
                        <m: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𝐶</m:t>
                        </m:r>
                      </m:sub>
                    </m:sSub>
                    <m:d>
                      <m:dPr>
                        <m:ctrlP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s-ES" sz="14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1−</m:t>
                        </m:r>
                        <m:f>
                          <m:fPr>
                            <m:ctrlP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s-ES" sz="14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0.1</m:t>
                            </m:r>
                          </m:num>
                          <m:den>
                            <m:sSup>
                              <m:sSupPr>
                                <m:ctrlP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pPr>
                              <m:e>
                                <m: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2</m:t>
                                </m:r>
                              </m:e>
                              <m:sup>
                                <m:r>
                                  <a:rPr lang="es-ES" sz="14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9−10</m:t>
                                </m:r>
                                <m:sSub>
                                  <m:sSubPr>
                                    <m:ctrlP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∅</m:t>
                                    </m:r>
                                  </m:e>
                                  <m:sub>
                                    <m:r>
                                      <a:rPr lang="es-ES" sz="1400" b="0" i="1">
                                        <a:latin typeface="Cambria Math" panose="02040503050406030204" pitchFamily="18" charset="0"/>
                                        <a:ea typeface="Cambria Math" panose="02040503050406030204" pitchFamily="18" charset="0"/>
                                      </a:rPr>
                                      <m:t>𝐶</m:t>
                                    </m:r>
                                  </m:sub>
                                </m:sSub>
                              </m:sup>
                            </m:sSup>
                          </m:den>
                        </m:f>
                      </m:e>
                    </m:d>
                  </m:oMath>
                </m:oMathPara>
              </a14:m>
              <a:endParaRPr lang="en-US" sz="1400"/>
            </a:p>
          </xdr:txBody>
        </xdr:sp>
      </mc:Choice>
      <mc:Fallback xmlns="">
        <xdr:sp macro="" textlink="">
          <xdr:nvSpPr>
            <xdr:cNvPr id="10" name="CuadroTexto 9">
              <a:extLst>
                <a:ext uri="{FF2B5EF4-FFF2-40B4-BE49-F238E27FC236}">
                  <a16:creationId xmlns:a16="http://schemas.microsoft.com/office/drawing/2014/main" id="{1780C7AC-4DEB-46D6-A6E0-BFD96B25FE53}"/>
                </a:ext>
              </a:extLst>
            </xdr:cNvPr>
            <xdr:cNvSpPr txBox="1"/>
          </xdr:nvSpPr>
          <xdr:spPr>
            <a:xfrm>
              <a:off x="6626679" y="7048500"/>
              <a:ext cx="7600950" cy="48404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s-ES" sz="1400" b="0" i="0">
                  <a:latin typeface="Cambria Math" panose="02040503050406030204" pitchFamily="18" charset="0"/>
                </a:rPr>
                <a:t>𝑃</a:t>
              </a:r>
              <a:r>
                <a:rPr lang="es-ES" sz="14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=𝐾𝐷^2.5 𝐿(1−〖𝐴𝐽〗_𝑡𝑜𝑡𝑎𝑙 )[(1−𝜀_𝐵 )(𝜌_𝑠𝑜𝑙𝑖𝑑𝑠/𝑊_𝐶 ) 𝐽_(𝑡𝑜𝑡𝑎𝑙 )+0.6𝐽_𝑏𝑎𝑙𝑙𝑠 (𝜌_𝑏𝑎𝑙𝑙𝑠−𝜌_𝑠𝑜𝑙𝑖𝑑𝑠/𝑊_𝐶 )] ∅_𝐶 (1−0.1/2^(9−10∅_𝐶 ) )</a:t>
              </a:r>
              <a:endParaRPr lang="en-US" sz="1400"/>
            </a:p>
          </xdr:txBody>
        </xdr:sp>
      </mc:Fallback>
    </mc:AlternateContent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10</xdr:col>
      <xdr:colOff>199524</xdr:colOff>
      <xdr:row>9</xdr:row>
      <xdr:rowOff>171310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05DBD0-FE4A-471E-9B92-F73B3DCD3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48150" y="762000"/>
          <a:ext cx="4009524" cy="1123810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9</xdr:row>
      <xdr:rowOff>200025</xdr:rowOff>
    </xdr:from>
    <xdr:to>
      <xdr:col>10</xdr:col>
      <xdr:colOff>618586</xdr:colOff>
      <xdr:row>23</xdr:row>
      <xdr:rowOff>47280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15BCFB5-9B34-4B2D-9165-4A50775C3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62450" y="1914525"/>
          <a:ext cx="4314286" cy="276190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10</xdr:col>
      <xdr:colOff>428095</xdr:colOff>
      <xdr:row>33</xdr:row>
      <xdr:rowOff>85500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90CF1C8-DD76-434F-95E8-570B15166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48150" y="4819650"/>
          <a:ext cx="4238095" cy="1800000"/>
        </a:xfrm>
        <a:prstGeom prst="rect">
          <a:avLst/>
        </a:prstGeom>
      </xdr:spPr>
    </xdr:pic>
    <xdr:clientData/>
  </xdr:twoCellAnchor>
  <xdr:twoCellAnchor editAs="oneCell">
    <xdr:from>
      <xdr:col>4</xdr:col>
      <xdr:colOff>742950</xdr:colOff>
      <xdr:row>33</xdr:row>
      <xdr:rowOff>142875</xdr:rowOff>
    </xdr:from>
    <xdr:to>
      <xdr:col>10</xdr:col>
      <xdr:colOff>532855</xdr:colOff>
      <xdr:row>46</xdr:row>
      <xdr:rowOff>190184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38E91FF-A414-4E32-8869-643F25A28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229100" y="6677025"/>
          <a:ext cx="4361905" cy="2523809"/>
        </a:xfrm>
        <a:prstGeom prst="rect">
          <a:avLst/>
        </a:prstGeom>
      </xdr:spPr>
    </xdr:pic>
    <xdr:clientData/>
  </xdr:twoCellAnchor>
  <xdr:twoCellAnchor>
    <xdr:from>
      <xdr:col>8</xdr:col>
      <xdr:colOff>419100</xdr:colOff>
      <xdr:row>49</xdr:row>
      <xdr:rowOff>95250</xdr:rowOff>
    </xdr:from>
    <xdr:to>
      <xdr:col>14</xdr:col>
      <xdr:colOff>419100</xdr:colOff>
      <xdr:row>63</xdr:row>
      <xdr:rowOff>171450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C63FE3F2-5C32-4484-8CC3-C28AED0D39E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95258</xdr:colOff>
      <xdr:row>19</xdr:row>
      <xdr:rowOff>166679</xdr:rowOff>
    </xdr:from>
    <xdr:to>
      <xdr:col>14</xdr:col>
      <xdr:colOff>404821</xdr:colOff>
      <xdr:row>27</xdr:row>
      <xdr:rowOff>14279</xdr:rowOff>
    </xdr:to>
    <xdr:grpSp>
      <xdr:nvGrpSpPr>
        <xdr:cNvPr id="2" name="Group 631">
          <a:extLst>
            <a:ext uri="{FF2B5EF4-FFF2-40B4-BE49-F238E27FC236}">
              <a16:creationId xmlns:a16="http://schemas.microsoft.com/office/drawing/2014/main" id="{E67C7854-CC62-4AC2-A3AC-2668038D7782}"/>
            </a:ext>
          </a:extLst>
        </xdr:cNvPr>
        <xdr:cNvGrpSpPr>
          <a:grpSpLocks/>
        </xdr:cNvGrpSpPr>
      </xdr:nvGrpSpPr>
      <xdr:grpSpPr bwMode="auto">
        <a:xfrm>
          <a:off x="4524383" y="3809992"/>
          <a:ext cx="2309813" cy="1371600"/>
          <a:chOff x="1024" y="531"/>
          <a:chExt cx="220" cy="144"/>
        </a:xfrm>
      </xdr:grpSpPr>
      <xdr:sp macro="" textlink="">
        <xdr:nvSpPr>
          <xdr:cNvPr id="3" name="Freeform 610">
            <a:extLst>
              <a:ext uri="{FF2B5EF4-FFF2-40B4-BE49-F238E27FC236}">
                <a16:creationId xmlns:a16="http://schemas.microsoft.com/office/drawing/2014/main" id="{612F524D-5FE1-414A-930B-8EA0183E6F2F}"/>
              </a:ext>
            </a:extLst>
          </xdr:cNvPr>
          <xdr:cNvSpPr>
            <a:spLocks/>
          </xdr:cNvSpPr>
        </xdr:nvSpPr>
        <xdr:spPr bwMode="auto">
          <a:xfrm>
            <a:off x="1024" y="563"/>
            <a:ext cx="88" cy="51"/>
          </a:xfrm>
          <a:custGeom>
            <a:avLst/>
            <a:gdLst>
              <a:gd name="T0" fmla="*/ 0 w 77"/>
              <a:gd name="T1" fmla="*/ 0 h 51"/>
              <a:gd name="T2" fmla="*/ 61 w 77"/>
              <a:gd name="T3" fmla="*/ 0 h 51"/>
              <a:gd name="T4" fmla="*/ 61 w 77"/>
              <a:gd name="T5" fmla="*/ 18 h 51"/>
              <a:gd name="T6" fmla="*/ 77 w 77"/>
              <a:gd name="T7" fmla="*/ 29 h 51"/>
              <a:gd name="T8" fmla="*/ 77 w 77"/>
              <a:gd name="T9" fmla="*/ 51 h 51"/>
              <a:gd name="T10" fmla="*/ 0 w 77"/>
              <a:gd name="T11" fmla="*/ 14 h 51"/>
              <a:gd name="T12" fmla="*/ 0 w 77"/>
              <a:gd name="T13" fmla="*/ 0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77" h="51">
                <a:moveTo>
                  <a:pt x="0" y="0"/>
                </a:moveTo>
                <a:lnTo>
                  <a:pt x="61" y="0"/>
                </a:lnTo>
                <a:lnTo>
                  <a:pt x="61" y="18"/>
                </a:lnTo>
                <a:lnTo>
                  <a:pt x="77" y="29"/>
                </a:lnTo>
                <a:lnTo>
                  <a:pt x="77" y="51"/>
                </a:lnTo>
                <a:lnTo>
                  <a:pt x="0" y="14"/>
                </a:lnTo>
                <a:lnTo>
                  <a:pt x="0" y="0"/>
                </a:lnTo>
                <a:close/>
              </a:path>
            </a:pathLst>
          </a:custGeom>
          <a:noFill/>
          <a:ln w="12700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</a:extLst>
        </xdr:spPr>
      </xdr:sp>
      <xdr:grpSp>
        <xdr:nvGrpSpPr>
          <xdr:cNvPr id="4" name="Group 611">
            <a:extLst>
              <a:ext uri="{FF2B5EF4-FFF2-40B4-BE49-F238E27FC236}">
                <a16:creationId xmlns:a16="http://schemas.microsoft.com/office/drawing/2014/main" id="{6FA41836-B6C8-4177-808D-2C6F852B686B}"/>
              </a:ext>
            </a:extLst>
          </xdr:cNvPr>
          <xdr:cNvGrpSpPr>
            <a:grpSpLocks/>
          </xdr:cNvGrpSpPr>
        </xdr:nvGrpSpPr>
        <xdr:grpSpPr bwMode="auto">
          <a:xfrm>
            <a:off x="1112" y="531"/>
            <a:ext cx="132" cy="144"/>
            <a:chOff x="343" y="147"/>
            <a:chExt cx="132" cy="144"/>
          </a:xfrm>
        </xdr:grpSpPr>
        <xdr:sp macro="" textlink="">
          <xdr:nvSpPr>
            <xdr:cNvPr id="5" name="Freeform 613">
              <a:extLst>
                <a:ext uri="{FF2B5EF4-FFF2-40B4-BE49-F238E27FC236}">
                  <a16:creationId xmlns:a16="http://schemas.microsoft.com/office/drawing/2014/main" id="{36A04B0E-34E6-46AF-B0F0-B7FB096DCF99}"/>
                </a:ext>
              </a:extLst>
            </xdr:cNvPr>
            <xdr:cNvSpPr>
              <a:spLocks noChangeAspect="1"/>
            </xdr:cNvSpPr>
          </xdr:nvSpPr>
          <xdr:spPr bwMode="auto">
            <a:xfrm>
              <a:off x="362" y="170"/>
              <a:ext cx="14" cy="98"/>
            </a:xfrm>
            <a:custGeom>
              <a:avLst/>
              <a:gdLst>
                <a:gd name="T0" fmla="*/ 16 w 16"/>
                <a:gd name="T1" fmla="*/ 0 h 98"/>
                <a:gd name="T2" fmla="*/ 0 w 16"/>
                <a:gd name="T3" fmla="*/ 25 h 98"/>
                <a:gd name="T4" fmla="*/ 0 w 16"/>
                <a:gd name="T5" fmla="*/ 72 h 98"/>
                <a:gd name="T6" fmla="*/ 16 w 16"/>
                <a:gd name="T7" fmla="*/ 98 h 98"/>
                <a:gd name="T8" fmla="*/ 16 w 16"/>
                <a:gd name="T9" fmla="*/ 0 h 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</a:cxnLst>
              <a:rect l="0" t="0" r="r" b="b"/>
              <a:pathLst>
                <a:path w="16" h="98">
                  <a:moveTo>
                    <a:pt x="16" y="0"/>
                  </a:moveTo>
                  <a:lnTo>
                    <a:pt x="0" y="25"/>
                  </a:lnTo>
                  <a:lnTo>
                    <a:pt x="0" y="72"/>
                  </a:lnTo>
                  <a:lnTo>
                    <a:pt x="16" y="98"/>
                  </a:lnTo>
                  <a:lnTo>
                    <a:pt x="16" y="0"/>
                  </a:lnTo>
                  <a:close/>
                </a:path>
              </a:pathLst>
            </a:custGeom>
            <a:noFill/>
            <a:ln w="12700" cap="flat" cmpd="sng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00" mc:Ignorable="a14" a14:legacySpreadsheetColorIndex="13"/>
                  </a:solidFill>
                </a14:hiddenFill>
              </a:ext>
            </a:extLst>
          </xdr:spPr>
        </xdr:sp>
        <xdr:sp macro="" textlink="">
          <xdr:nvSpPr>
            <xdr:cNvPr id="6" name="Rectangle 614">
              <a:extLst>
                <a:ext uri="{FF2B5EF4-FFF2-40B4-BE49-F238E27FC236}">
                  <a16:creationId xmlns:a16="http://schemas.microsoft.com/office/drawing/2014/main" id="{E04C7039-41E6-4D8C-B6DE-5E392A244860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376" y="168"/>
              <a:ext cx="61" cy="101"/>
            </a:xfrm>
            <a:prstGeom prst="rect">
              <a:avLst/>
            </a:prstGeom>
            <a:noFill/>
            <a:ln w="12700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00" mc:Ignorable="a14" a14:legacySpreadsheetColorIndex="13"/>
                  </a:solidFill>
                </a14:hiddenFill>
              </a:ext>
            </a:extLst>
          </xdr:spPr>
        </xdr:sp>
        <xdr:sp macro="" textlink="">
          <xdr:nvSpPr>
            <xdr:cNvPr id="7" name="Freeform 615">
              <a:extLst>
                <a:ext uri="{FF2B5EF4-FFF2-40B4-BE49-F238E27FC236}">
                  <a16:creationId xmlns:a16="http://schemas.microsoft.com/office/drawing/2014/main" id="{A369CAA6-C3C0-4EF4-9AC4-9EA787438F57}"/>
                </a:ext>
              </a:extLst>
            </xdr:cNvPr>
            <xdr:cNvSpPr>
              <a:spLocks noChangeAspect="1"/>
            </xdr:cNvSpPr>
          </xdr:nvSpPr>
          <xdr:spPr bwMode="auto">
            <a:xfrm>
              <a:off x="440" y="171"/>
              <a:ext cx="16" cy="97"/>
            </a:xfrm>
            <a:custGeom>
              <a:avLst/>
              <a:gdLst>
                <a:gd name="T0" fmla="*/ 0 w 16"/>
                <a:gd name="T1" fmla="*/ 0 h 96"/>
                <a:gd name="T2" fmla="*/ 16 w 16"/>
                <a:gd name="T3" fmla="*/ 24 h 96"/>
                <a:gd name="T4" fmla="*/ 16 w 16"/>
                <a:gd name="T5" fmla="*/ 70 h 96"/>
                <a:gd name="T6" fmla="*/ 0 w 16"/>
                <a:gd name="T7" fmla="*/ 96 h 96"/>
                <a:gd name="T8" fmla="*/ 0 w 16"/>
                <a:gd name="T9" fmla="*/ 0 h 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</a:cxnLst>
              <a:rect l="0" t="0" r="r" b="b"/>
              <a:pathLst>
                <a:path w="16" h="96">
                  <a:moveTo>
                    <a:pt x="0" y="0"/>
                  </a:moveTo>
                  <a:lnTo>
                    <a:pt x="16" y="24"/>
                  </a:lnTo>
                  <a:lnTo>
                    <a:pt x="16" y="70"/>
                  </a:lnTo>
                  <a:lnTo>
                    <a:pt x="0" y="96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12700" cap="flat" cmpd="sng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00" mc:Ignorable="a14" a14:legacySpreadsheetColorIndex="13"/>
                  </a:solidFill>
                </a14:hiddenFill>
              </a:ext>
            </a:extLst>
          </xdr:spPr>
        </xdr:sp>
        <xdr:sp macro="" textlink="">
          <xdr:nvSpPr>
            <xdr:cNvPr id="8" name="Rectangle 616">
              <a:extLst>
                <a:ext uri="{FF2B5EF4-FFF2-40B4-BE49-F238E27FC236}">
                  <a16:creationId xmlns:a16="http://schemas.microsoft.com/office/drawing/2014/main" id="{F9E58C56-6E93-48D2-828D-3F666FA0CDEA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 flipH="1">
              <a:off x="437" y="165"/>
              <a:ext cx="3" cy="108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 w="12700" algn="ctr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sp macro="" textlink="">
          <xdr:nvSpPr>
            <xdr:cNvPr id="9" name="Rectangle 617">
              <a:extLst>
                <a:ext uri="{FF2B5EF4-FFF2-40B4-BE49-F238E27FC236}">
                  <a16:creationId xmlns:a16="http://schemas.microsoft.com/office/drawing/2014/main" id="{CCC01EC3-F048-401E-95A4-B8883BEC7092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372" y="147"/>
              <a:ext cx="19" cy="144"/>
            </a:xfrm>
            <a:prstGeom prst="rect">
              <a:avLst/>
            </a:prstGeom>
            <a:noFill/>
            <a:ln w="12700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00" mc:Ignorable="a14" a14:legacySpreadsheetColorIndex="13"/>
                  </a:solidFill>
                </a14:hiddenFill>
              </a:ext>
            </a:extLst>
          </xdr:spPr>
        </xdr:sp>
        <xdr:sp macro="" textlink="">
          <xdr:nvSpPr>
            <xdr:cNvPr id="10" name="Rectangle 618">
              <a:extLst>
                <a:ext uri="{FF2B5EF4-FFF2-40B4-BE49-F238E27FC236}">
                  <a16:creationId xmlns:a16="http://schemas.microsoft.com/office/drawing/2014/main" id="{197C8559-D047-49DC-A3E6-B0DB52A2CB2D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 flipH="1">
              <a:off x="375" y="150"/>
              <a:ext cx="11" cy="8"/>
            </a:xfrm>
            <a:prstGeom prst="rect">
              <a:avLst/>
            </a:prstGeom>
            <a:noFill/>
            <a:ln w="12700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00" mc:Ignorable="a14" a14:legacySpreadsheetColorIndex="13"/>
                  </a:solidFill>
                </a14:hiddenFill>
              </a:ext>
            </a:extLst>
          </xdr:spPr>
        </xdr:sp>
        <xdr:sp macro="" textlink="">
          <xdr:nvSpPr>
            <xdr:cNvPr id="11" name="Rectangle 619">
              <a:extLst>
                <a:ext uri="{FF2B5EF4-FFF2-40B4-BE49-F238E27FC236}">
                  <a16:creationId xmlns:a16="http://schemas.microsoft.com/office/drawing/2014/main" id="{62FF8C9A-65C0-4F16-B6F3-E03838AFC0A3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 flipH="1">
              <a:off x="375" y="160"/>
              <a:ext cx="11" cy="5"/>
            </a:xfrm>
            <a:prstGeom prst="rect">
              <a:avLst/>
            </a:prstGeom>
            <a:noFill/>
            <a:ln w="12700" algn="ctr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00" mc:Ignorable="a14" a14:legacySpreadsheetColorIndex="13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sp macro="" textlink="">
          <xdr:nvSpPr>
            <xdr:cNvPr id="12" name="Rectangle 620">
              <a:extLst>
                <a:ext uri="{FF2B5EF4-FFF2-40B4-BE49-F238E27FC236}">
                  <a16:creationId xmlns:a16="http://schemas.microsoft.com/office/drawing/2014/main" id="{A6F3EFBF-F736-4B1C-BCAA-E1395BFF07FD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 flipH="1">
              <a:off x="375" y="280"/>
              <a:ext cx="11" cy="8"/>
            </a:xfrm>
            <a:prstGeom prst="rect">
              <a:avLst/>
            </a:prstGeom>
            <a:noFill/>
            <a:ln w="12700" algn="ctr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00" mc:Ignorable="a14" a14:legacySpreadsheetColorIndex="13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sp macro="" textlink="">
          <xdr:nvSpPr>
            <xdr:cNvPr id="13" name="Rectangle 621">
              <a:extLst>
                <a:ext uri="{FF2B5EF4-FFF2-40B4-BE49-F238E27FC236}">
                  <a16:creationId xmlns:a16="http://schemas.microsoft.com/office/drawing/2014/main" id="{758F88D0-9EC7-4C1B-9BDA-B70F6EE61DC1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 flipH="1">
              <a:off x="375" y="273"/>
              <a:ext cx="11" cy="5"/>
            </a:xfrm>
            <a:prstGeom prst="rect">
              <a:avLst/>
            </a:prstGeom>
            <a:noFill/>
            <a:ln w="12700" algn="ctr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00" mc:Ignorable="a14" a14:legacySpreadsheetColorIndex="13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grpSp>
          <xdr:nvGrpSpPr>
            <xdr:cNvPr id="14" name="Group 622">
              <a:extLst>
                <a:ext uri="{FF2B5EF4-FFF2-40B4-BE49-F238E27FC236}">
                  <a16:creationId xmlns:a16="http://schemas.microsoft.com/office/drawing/2014/main" id="{6E702F84-3ADD-4C06-B888-35142C46D91E}"/>
                </a:ext>
              </a:extLst>
            </xdr:cNvPr>
            <xdr:cNvGrpSpPr>
              <a:grpSpLocks noChangeAspect="1"/>
            </xdr:cNvGrpSpPr>
          </xdr:nvGrpSpPr>
          <xdr:grpSpPr bwMode="auto">
            <a:xfrm>
              <a:off x="343" y="196"/>
              <a:ext cx="19" cy="44"/>
              <a:chOff x="311" y="549"/>
              <a:chExt cx="19" cy="43"/>
            </a:xfrm>
          </xdr:grpSpPr>
          <xdr:sp macro="" textlink="">
            <xdr:nvSpPr>
              <xdr:cNvPr id="20" name="Rectangle 623">
                <a:extLst>
                  <a:ext uri="{FF2B5EF4-FFF2-40B4-BE49-F238E27FC236}">
                    <a16:creationId xmlns:a16="http://schemas.microsoft.com/office/drawing/2014/main" id="{2F7D8075-72CA-480D-B610-B69D93CB3FAD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314" y="551"/>
                <a:ext cx="16" cy="39"/>
              </a:xfrm>
              <a:prstGeom prst="rect">
                <a:avLst/>
              </a:prstGeom>
              <a:noFill/>
              <a:ln w="12700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xmlns:mc="http://schemas.openxmlformats.org/markup-compatibility/2006" val="FFFF00" mc:Ignorable="a14" a14:legacySpreadsheetColorIndex="13"/>
                    </a:solidFill>
                  </a14:hiddenFill>
                </a:ext>
              </a:extLst>
            </xdr:spPr>
          </xdr:sp>
          <xdr:sp macro="" textlink="">
            <xdr:nvSpPr>
              <xdr:cNvPr id="21" name="Rectangle 624">
                <a:extLst>
                  <a:ext uri="{FF2B5EF4-FFF2-40B4-BE49-F238E27FC236}">
                    <a16:creationId xmlns:a16="http://schemas.microsoft.com/office/drawing/2014/main" id="{257692B2-438A-4842-A41C-C342B95EDF56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311" y="549"/>
                <a:ext cx="3" cy="43"/>
              </a:xfrm>
              <a:prstGeom prst="rect">
                <a:avLst/>
              </a:prstGeom>
              <a:noFill/>
              <a:ln w="12700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xmlns:mc="http://schemas.openxmlformats.org/markup-compatibility/2006" val="FFFF00" mc:Ignorable="a14" a14:legacySpreadsheetColorIndex="13"/>
                    </a:solidFill>
                  </a14:hiddenFill>
                </a:ext>
              </a:extLst>
            </xdr:spPr>
          </xdr:sp>
          <xdr:sp macro="" textlink="">
            <xdr:nvSpPr>
              <xdr:cNvPr id="22" name="Rectangle 625">
                <a:extLst>
                  <a:ext uri="{FF2B5EF4-FFF2-40B4-BE49-F238E27FC236}">
                    <a16:creationId xmlns:a16="http://schemas.microsoft.com/office/drawing/2014/main" id="{4AEDB895-269F-4F6E-882D-B4B9E883AC71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329" y="549"/>
                <a:ext cx="1" cy="43"/>
              </a:xfrm>
              <a:prstGeom prst="rect">
                <a:avLst/>
              </a:prstGeom>
              <a:noFill/>
              <a:ln w="12700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xmlns:mc="http://schemas.openxmlformats.org/markup-compatibility/2006" val="FFFF00" mc:Ignorable="a14" a14:legacySpreadsheetColorIndex="13"/>
                    </a:solidFill>
                  </a14:hiddenFill>
                </a:ext>
              </a:extLst>
            </xdr:spPr>
          </xdr:sp>
        </xdr:grpSp>
        <xdr:grpSp>
          <xdr:nvGrpSpPr>
            <xdr:cNvPr id="15" name="Group 626">
              <a:extLst>
                <a:ext uri="{FF2B5EF4-FFF2-40B4-BE49-F238E27FC236}">
                  <a16:creationId xmlns:a16="http://schemas.microsoft.com/office/drawing/2014/main" id="{B93FEB02-45A5-466D-9E81-222C966D266E}"/>
                </a:ext>
              </a:extLst>
            </xdr:cNvPr>
            <xdr:cNvGrpSpPr>
              <a:grpSpLocks noChangeAspect="1"/>
            </xdr:cNvGrpSpPr>
          </xdr:nvGrpSpPr>
          <xdr:grpSpPr bwMode="auto">
            <a:xfrm>
              <a:off x="456" y="196"/>
              <a:ext cx="19" cy="44"/>
              <a:chOff x="423" y="549"/>
              <a:chExt cx="19" cy="43"/>
            </a:xfrm>
          </xdr:grpSpPr>
          <xdr:sp macro="" textlink="">
            <xdr:nvSpPr>
              <xdr:cNvPr id="17" name="Rectangle 627">
                <a:extLst>
                  <a:ext uri="{FF2B5EF4-FFF2-40B4-BE49-F238E27FC236}">
                    <a16:creationId xmlns:a16="http://schemas.microsoft.com/office/drawing/2014/main" id="{F9F17C27-1626-4082-85CE-1A403F0FAFEA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 flipH="1">
                <a:off x="423" y="551"/>
                <a:ext cx="16" cy="39"/>
              </a:xfrm>
              <a:prstGeom prst="rect">
                <a:avLst/>
              </a:prstGeom>
              <a:noFill/>
              <a:ln w="12700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xmlns:mc="http://schemas.openxmlformats.org/markup-compatibility/2006" val="FFFF00" mc:Ignorable="a14" a14:legacySpreadsheetColorIndex="13"/>
                    </a:solidFill>
                  </a14:hiddenFill>
                </a:ext>
              </a:extLst>
            </xdr:spPr>
          </xdr:sp>
          <xdr:sp macro="" textlink="">
            <xdr:nvSpPr>
              <xdr:cNvPr id="18" name="Rectangle 628">
                <a:extLst>
                  <a:ext uri="{FF2B5EF4-FFF2-40B4-BE49-F238E27FC236}">
                    <a16:creationId xmlns:a16="http://schemas.microsoft.com/office/drawing/2014/main" id="{411D48E6-44FB-4B93-9F65-969AC5BEF5F4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 flipH="1">
                <a:off x="439" y="549"/>
                <a:ext cx="3" cy="43"/>
              </a:xfrm>
              <a:prstGeom prst="rect">
                <a:avLst/>
              </a:prstGeom>
              <a:noFill/>
              <a:ln w="12700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xmlns:mc="http://schemas.openxmlformats.org/markup-compatibility/2006" val="FFFF00" mc:Ignorable="a14" a14:legacySpreadsheetColorIndex="13"/>
                    </a:solidFill>
                  </a14:hiddenFill>
                </a:ext>
              </a:extLst>
            </xdr:spPr>
          </xdr:sp>
          <xdr:sp macro="" textlink="">
            <xdr:nvSpPr>
              <xdr:cNvPr id="19" name="Rectangle 629">
                <a:extLst>
                  <a:ext uri="{FF2B5EF4-FFF2-40B4-BE49-F238E27FC236}">
                    <a16:creationId xmlns:a16="http://schemas.microsoft.com/office/drawing/2014/main" id="{A8FEDBEE-B9A6-4D91-BA69-E9CE23563BF6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423" y="549"/>
                <a:ext cx="1" cy="43"/>
              </a:xfrm>
              <a:prstGeom prst="rect">
                <a:avLst/>
              </a:prstGeom>
              <a:noFill/>
              <a:ln w="12700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xmlns:mc="http://schemas.openxmlformats.org/markup-compatibility/2006" val="FFFF00" mc:Ignorable="a14" a14:legacySpreadsheetColorIndex="13"/>
                    </a:solidFill>
                  </a14:hiddenFill>
                </a:ext>
              </a:extLst>
            </xdr:spPr>
          </xdr:sp>
        </xdr:grpSp>
        <xdr:sp macro="" textlink="">
          <xdr:nvSpPr>
            <xdr:cNvPr id="16" name="Rectangle 630">
              <a:extLst>
                <a:ext uri="{FF2B5EF4-FFF2-40B4-BE49-F238E27FC236}">
                  <a16:creationId xmlns:a16="http://schemas.microsoft.com/office/drawing/2014/main" id="{7E816F45-8FA7-4E49-B46E-59F2B98E0680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 flipH="1">
              <a:off x="375" y="165"/>
              <a:ext cx="3" cy="108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 w="12700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</xdr:grpSp>
    </xdr:grpSp>
    <xdr:clientData/>
  </xdr:twoCellAnchor>
  <xdr:twoCellAnchor>
    <xdr:from>
      <xdr:col>3</xdr:col>
      <xdr:colOff>5952</xdr:colOff>
      <xdr:row>15</xdr:row>
      <xdr:rowOff>71437</xdr:rowOff>
    </xdr:from>
    <xdr:to>
      <xdr:col>3</xdr:col>
      <xdr:colOff>434577</xdr:colOff>
      <xdr:row>17</xdr:row>
      <xdr:rowOff>1036</xdr:rowOff>
    </xdr:to>
    <xdr:sp macro="" textlink="">
      <xdr:nvSpPr>
        <xdr:cNvPr id="23" name="Freeform 55">
          <a:extLst>
            <a:ext uri="{FF2B5EF4-FFF2-40B4-BE49-F238E27FC236}">
              <a16:creationId xmlns:a16="http://schemas.microsoft.com/office/drawing/2014/main" id="{2ADF503C-CAAB-4F08-AE81-9ACA9C33C327}"/>
            </a:ext>
          </a:extLst>
        </xdr:cNvPr>
        <xdr:cNvSpPr>
          <a:spLocks/>
        </xdr:cNvSpPr>
      </xdr:nvSpPr>
      <xdr:spPr bwMode="auto">
        <a:xfrm>
          <a:off x="1206102" y="2824162"/>
          <a:ext cx="428625" cy="291549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128950</xdr:colOff>
      <xdr:row>14</xdr:row>
      <xdr:rowOff>39029</xdr:rowOff>
    </xdr:from>
    <xdr:to>
      <xdr:col>3</xdr:col>
      <xdr:colOff>202768</xdr:colOff>
      <xdr:row>15</xdr:row>
      <xdr:rowOff>146864</xdr:rowOff>
    </xdr:to>
    <xdr:grpSp>
      <xdr:nvGrpSpPr>
        <xdr:cNvPr id="24" name="Group 355">
          <a:extLst>
            <a:ext uri="{FF2B5EF4-FFF2-40B4-BE49-F238E27FC236}">
              <a16:creationId xmlns:a16="http://schemas.microsoft.com/office/drawing/2014/main" id="{4FE82EC1-11B5-47AD-8EEF-3A29553FE3A3}"/>
            </a:ext>
          </a:extLst>
        </xdr:cNvPr>
        <xdr:cNvGrpSpPr>
          <a:grpSpLocks/>
        </xdr:cNvGrpSpPr>
      </xdr:nvGrpSpPr>
      <xdr:grpSpPr bwMode="auto">
        <a:xfrm>
          <a:off x="414700" y="2729842"/>
          <a:ext cx="978693" cy="298335"/>
          <a:chOff x="1008071" y="7989449"/>
          <a:chExt cx="938142" cy="318008"/>
        </a:xfrm>
      </xdr:grpSpPr>
      <xdr:sp macro="" textlink="">
        <xdr:nvSpPr>
          <xdr:cNvPr id="25" name="Freeform 7">
            <a:extLst>
              <a:ext uri="{FF2B5EF4-FFF2-40B4-BE49-F238E27FC236}">
                <a16:creationId xmlns:a16="http://schemas.microsoft.com/office/drawing/2014/main" id="{C740D024-296D-4EFF-A0D3-D7BE9C77C53B}"/>
              </a:ext>
            </a:extLst>
          </xdr:cNvPr>
          <xdr:cNvSpPr>
            <a:spLocks/>
          </xdr:cNvSpPr>
        </xdr:nvSpPr>
        <xdr:spPr bwMode="auto">
          <a:xfrm>
            <a:off x="1024864" y="8147522"/>
            <a:ext cx="741370" cy="159935"/>
          </a:xfrm>
          <a:custGeom>
            <a:avLst/>
            <a:gdLst>
              <a:gd name="T0" fmla="*/ 0 w 133"/>
              <a:gd name="T1" fmla="*/ 0 h 17"/>
              <a:gd name="T2" fmla="*/ 0 w 133"/>
              <a:gd name="T3" fmla="*/ 159935 h 17"/>
              <a:gd name="T4" fmla="*/ 691202 w 133"/>
              <a:gd name="T5" fmla="*/ 159935 h 17"/>
              <a:gd name="T6" fmla="*/ 741370 w 133"/>
              <a:gd name="T7" fmla="*/ 75264 h 17"/>
              <a:gd name="T8" fmla="*/ 691202 w 133"/>
              <a:gd name="T9" fmla="*/ 0 h 17"/>
              <a:gd name="T10" fmla="*/ 0 w 133"/>
              <a:gd name="T11" fmla="*/ 0 h 17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  <a:gd name="T18" fmla="*/ 0 w 133"/>
              <a:gd name="T19" fmla="*/ 0 h 17"/>
              <a:gd name="T20" fmla="*/ 133 w 133"/>
              <a:gd name="T21" fmla="*/ 17 h 17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T18" t="T19" r="T20" b="T21"/>
            <a:pathLst>
              <a:path w="133" h="17">
                <a:moveTo>
                  <a:pt x="0" y="0"/>
                </a:moveTo>
                <a:lnTo>
                  <a:pt x="0" y="17"/>
                </a:lnTo>
                <a:lnTo>
                  <a:pt x="124" y="17"/>
                </a:lnTo>
                <a:lnTo>
                  <a:pt x="133" y="8"/>
                </a:lnTo>
                <a:lnTo>
                  <a:pt x="124" y="0"/>
                </a:lnTo>
                <a:lnTo>
                  <a:pt x="0" y="0"/>
                </a:lnTo>
                <a:close/>
              </a:path>
            </a:pathLst>
          </a:custGeom>
          <a:noFill/>
          <a:ln w="9525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6" name="Text Box 9">
            <a:extLst>
              <a:ext uri="{FF2B5EF4-FFF2-40B4-BE49-F238E27FC236}">
                <a16:creationId xmlns:a16="http://schemas.microsoft.com/office/drawing/2014/main" id="{1C3D8EB5-1DAB-48EE-A26D-2D30AB9C591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49289" y="8148453"/>
            <a:ext cx="653857" cy="149066"/>
          </a:xfrm>
          <a:prstGeom prst="rect">
            <a:avLst/>
          </a:prstGeom>
          <a:noFill/>
          <a:ln>
            <a:noFill/>
          </a:ln>
        </xdr:spPr>
        <xdr:txBody>
          <a:bodyPr vertOverflow="clip" wrap="square" lIns="27432" tIns="22860" rIns="27432" bIns="22860" anchor="ctr"/>
          <a:lstStyle/>
          <a:p>
            <a:pPr algn="ctr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MINERAL</a:t>
            </a:r>
            <a:endParaRPr lang="es-CL"/>
          </a:p>
        </xdr:txBody>
      </xdr:sp>
      <xdr:sp macro="" textlink="">
        <xdr:nvSpPr>
          <xdr:cNvPr id="27" name="Text Box 10">
            <a:extLst>
              <a:ext uri="{FF2B5EF4-FFF2-40B4-BE49-F238E27FC236}">
                <a16:creationId xmlns:a16="http://schemas.microsoft.com/office/drawing/2014/main" id="{44066820-EA43-47A9-84DC-4C6B3689447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08071" y="7989449"/>
            <a:ext cx="938142" cy="188817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DE ACOPIO</a:t>
            </a:r>
            <a:endParaRPr lang="es-CL"/>
          </a:p>
        </xdr:txBody>
      </xdr:sp>
    </xdr:grpSp>
    <xdr:clientData/>
  </xdr:twoCellAnchor>
  <xdr:twoCellAnchor>
    <xdr:from>
      <xdr:col>1</xdr:col>
      <xdr:colOff>73144</xdr:colOff>
      <xdr:row>4</xdr:row>
      <xdr:rowOff>155907</xdr:rowOff>
    </xdr:from>
    <xdr:to>
      <xdr:col>3</xdr:col>
      <xdr:colOff>159298</xdr:colOff>
      <xdr:row>6</xdr:row>
      <xdr:rowOff>73874</xdr:rowOff>
    </xdr:to>
    <xdr:grpSp>
      <xdr:nvGrpSpPr>
        <xdr:cNvPr id="28" name="Group 355">
          <a:extLst>
            <a:ext uri="{FF2B5EF4-FFF2-40B4-BE49-F238E27FC236}">
              <a16:creationId xmlns:a16="http://schemas.microsoft.com/office/drawing/2014/main" id="{E2EFFC47-4100-4A77-BE24-252844AFC361}"/>
            </a:ext>
          </a:extLst>
        </xdr:cNvPr>
        <xdr:cNvGrpSpPr>
          <a:grpSpLocks/>
        </xdr:cNvGrpSpPr>
      </xdr:nvGrpSpPr>
      <xdr:grpSpPr bwMode="auto">
        <a:xfrm>
          <a:off x="358894" y="917907"/>
          <a:ext cx="991029" cy="298967"/>
          <a:chOff x="893529" y="7989449"/>
          <a:chExt cx="970712" cy="306347"/>
        </a:xfrm>
      </xdr:grpSpPr>
      <xdr:sp macro="" textlink="">
        <xdr:nvSpPr>
          <xdr:cNvPr id="29" name="Freeform 7">
            <a:extLst>
              <a:ext uri="{FF2B5EF4-FFF2-40B4-BE49-F238E27FC236}">
                <a16:creationId xmlns:a16="http://schemas.microsoft.com/office/drawing/2014/main" id="{9DBFA9B8-7011-4D16-BE18-8E55995620DE}"/>
              </a:ext>
            </a:extLst>
          </xdr:cNvPr>
          <xdr:cNvSpPr>
            <a:spLocks/>
          </xdr:cNvSpPr>
        </xdr:nvSpPr>
        <xdr:spPr bwMode="auto">
          <a:xfrm>
            <a:off x="912280" y="8147523"/>
            <a:ext cx="853954" cy="148273"/>
          </a:xfrm>
          <a:custGeom>
            <a:avLst/>
            <a:gdLst>
              <a:gd name="T0" fmla="*/ 0 w 133"/>
              <a:gd name="T1" fmla="*/ 0 h 17"/>
              <a:gd name="T2" fmla="*/ 0 w 133"/>
              <a:gd name="T3" fmla="*/ 159935 h 17"/>
              <a:gd name="T4" fmla="*/ 691202 w 133"/>
              <a:gd name="T5" fmla="*/ 159935 h 17"/>
              <a:gd name="T6" fmla="*/ 741370 w 133"/>
              <a:gd name="T7" fmla="*/ 75264 h 17"/>
              <a:gd name="T8" fmla="*/ 691202 w 133"/>
              <a:gd name="T9" fmla="*/ 0 h 17"/>
              <a:gd name="T10" fmla="*/ 0 w 133"/>
              <a:gd name="T11" fmla="*/ 0 h 17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  <a:gd name="T18" fmla="*/ 0 w 133"/>
              <a:gd name="T19" fmla="*/ 0 h 17"/>
              <a:gd name="T20" fmla="*/ 133 w 133"/>
              <a:gd name="T21" fmla="*/ 17 h 17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T18" t="T19" r="T20" b="T21"/>
            <a:pathLst>
              <a:path w="133" h="17">
                <a:moveTo>
                  <a:pt x="0" y="0"/>
                </a:moveTo>
                <a:lnTo>
                  <a:pt x="0" y="17"/>
                </a:lnTo>
                <a:lnTo>
                  <a:pt x="124" y="17"/>
                </a:lnTo>
                <a:lnTo>
                  <a:pt x="133" y="8"/>
                </a:lnTo>
                <a:lnTo>
                  <a:pt x="124" y="0"/>
                </a:lnTo>
                <a:lnTo>
                  <a:pt x="0" y="0"/>
                </a:lnTo>
                <a:close/>
              </a:path>
            </a:pathLst>
          </a:custGeom>
          <a:noFill/>
          <a:ln w="9525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0" name="Text Box 9">
            <a:extLst>
              <a:ext uri="{FF2B5EF4-FFF2-40B4-BE49-F238E27FC236}">
                <a16:creationId xmlns:a16="http://schemas.microsoft.com/office/drawing/2014/main" id="{F9D1A550-DF45-4C98-8EA1-9FA678360778}"/>
              </a:ext>
            </a:extLst>
          </xdr:cNvPr>
          <xdr:cNvSpPr txBox="1">
            <a:spLocks noChangeArrowheads="1"/>
          </xdr:cNvSpPr>
        </xdr:nvSpPr>
        <xdr:spPr bwMode="auto">
          <a:xfrm>
            <a:off x="893529" y="8167740"/>
            <a:ext cx="809617" cy="128047"/>
          </a:xfrm>
          <a:prstGeom prst="rect">
            <a:avLst/>
          </a:prstGeom>
          <a:noFill/>
          <a:ln>
            <a:noFill/>
          </a:ln>
        </xdr:spPr>
        <xdr:txBody>
          <a:bodyPr vertOverflow="clip" wrap="square" lIns="27432" tIns="22860" rIns="27432" bIns="22860" anchor="ctr"/>
          <a:lstStyle/>
          <a:p>
            <a:pPr algn="ctr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AGUA DE REP.</a:t>
            </a:r>
            <a:endParaRPr lang="es-CL"/>
          </a:p>
        </xdr:txBody>
      </xdr:sp>
      <xdr:sp macro="" textlink="">
        <xdr:nvSpPr>
          <xdr:cNvPr id="31" name="Text Box 10">
            <a:extLst>
              <a:ext uri="{FF2B5EF4-FFF2-40B4-BE49-F238E27FC236}">
                <a16:creationId xmlns:a16="http://schemas.microsoft.com/office/drawing/2014/main" id="{8E60B380-A565-44A0-8EEA-02DEE50BF7B0}"/>
              </a:ext>
            </a:extLst>
          </xdr:cNvPr>
          <xdr:cNvSpPr txBox="1">
            <a:spLocks noChangeArrowheads="1"/>
          </xdr:cNvSpPr>
        </xdr:nvSpPr>
        <xdr:spPr bwMode="auto">
          <a:xfrm>
            <a:off x="926099" y="7989449"/>
            <a:ext cx="938142" cy="188817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DE DISTRIBUCIÓN</a:t>
            </a:r>
            <a:endParaRPr lang="es-CL"/>
          </a:p>
        </xdr:txBody>
      </xdr:sp>
    </xdr:grpSp>
    <xdr:clientData/>
  </xdr:twoCellAnchor>
  <xdr:twoCellAnchor>
    <xdr:from>
      <xdr:col>3</xdr:col>
      <xdr:colOff>47625</xdr:colOff>
      <xdr:row>6</xdr:row>
      <xdr:rowOff>3126</xdr:rowOff>
    </xdr:from>
    <xdr:to>
      <xdr:col>11</xdr:col>
      <xdr:colOff>0</xdr:colOff>
      <xdr:row>21</xdr:row>
      <xdr:rowOff>88281</xdr:rowOff>
    </xdr:to>
    <xdr:sp macro="" textlink="">
      <xdr:nvSpPr>
        <xdr:cNvPr id="32" name="Freeform 55">
          <a:extLst>
            <a:ext uri="{FF2B5EF4-FFF2-40B4-BE49-F238E27FC236}">
              <a16:creationId xmlns:a16="http://schemas.microsoft.com/office/drawing/2014/main" id="{972411F9-40D1-48AF-BB7D-BBCB8C2C7BCD}"/>
            </a:ext>
          </a:extLst>
        </xdr:cNvPr>
        <xdr:cNvSpPr>
          <a:spLocks/>
        </xdr:cNvSpPr>
      </xdr:nvSpPr>
      <xdr:spPr bwMode="auto">
        <a:xfrm>
          <a:off x="1247775" y="1088976"/>
          <a:ext cx="3733800" cy="2837880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17</xdr:col>
      <xdr:colOff>283552</xdr:colOff>
      <xdr:row>41</xdr:row>
      <xdr:rowOff>167541</xdr:rowOff>
    </xdr:from>
    <xdr:to>
      <xdr:col>20</xdr:col>
      <xdr:colOff>329908</xdr:colOff>
      <xdr:row>47</xdr:row>
      <xdr:rowOff>109043</xdr:rowOff>
    </xdr:to>
    <xdr:grpSp>
      <xdr:nvGrpSpPr>
        <xdr:cNvPr id="33" name="Group 32">
          <a:extLst>
            <a:ext uri="{FF2B5EF4-FFF2-40B4-BE49-F238E27FC236}">
              <a16:creationId xmlns:a16="http://schemas.microsoft.com/office/drawing/2014/main" id="{5A6C44FB-DB09-4C34-BCA6-95F3BD2D7DB2}"/>
            </a:ext>
          </a:extLst>
        </xdr:cNvPr>
        <xdr:cNvGrpSpPr/>
      </xdr:nvGrpSpPr>
      <xdr:grpSpPr>
        <a:xfrm>
          <a:off x="8070240" y="8025666"/>
          <a:ext cx="1403668" cy="1084502"/>
          <a:chOff x="7962167" y="7787541"/>
          <a:chExt cx="1394510" cy="1040541"/>
        </a:xfrm>
      </xdr:grpSpPr>
      <xdr:grpSp>
        <xdr:nvGrpSpPr>
          <xdr:cNvPr id="34" name="Group 2">
            <a:extLst>
              <a:ext uri="{FF2B5EF4-FFF2-40B4-BE49-F238E27FC236}">
                <a16:creationId xmlns:a16="http://schemas.microsoft.com/office/drawing/2014/main" id="{5C497FF9-8694-4292-92A9-0595C144CF07}"/>
              </a:ext>
            </a:extLst>
          </xdr:cNvPr>
          <xdr:cNvGrpSpPr>
            <a:grpSpLocks noChangeAspect="1"/>
          </xdr:cNvGrpSpPr>
        </xdr:nvGrpSpPr>
        <xdr:grpSpPr bwMode="auto">
          <a:xfrm>
            <a:off x="7962167" y="7787541"/>
            <a:ext cx="1330082" cy="1040541"/>
            <a:chOff x="357" y="382"/>
            <a:chExt cx="149" cy="119"/>
          </a:xfrm>
        </xdr:grpSpPr>
        <xdr:sp macro="" textlink="">
          <xdr:nvSpPr>
            <xdr:cNvPr id="44" name="Freeform 3">
              <a:extLst>
                <a:ext uri="{FF2B5EF4-FFF2-40B4-BE49-F238E27FC236}">
                  <a16:creationId xmlns:a16="http://schemas.microsoft.com/office/drawing/2014/main" id="{7B1AF87E-F4C5-4E17-AB1F-2FD128243248}"/>
                </a:ext>
              </a:extLst>
            </xdr:cNvPr>
            <xdr:cNvSpPr>
              <a:spLocks noChangeAspect="1"/>
            </xdr:cNvSpPr>
          </xdr:nvSpPr>
          <xdr:spPr bwMode="auto">
            <a:xfrm>
              <a:off x="357" y="382"/>
              <a:ext cx="149" cy="119"/>
            </a:xfrm>
            <a:custGeom>
              <a:avLst/>
              <a:gdLst>
                <a:gd name="T0" fmla="*/ 20 w 149"/>
                <a:gd name="T1" fmla="*/ 0 h 119"/>
                <a:gd name="T2" fmla="*/ 149 w 149"/>
                <a:gd name="T3" fmla="*/ 0 h 119"/>
                <a:gd name="T4" fmla="*/ 149 w 149"/>
                <a:gd name="T5" fmla="*/ 119 h 119"/>
                <a:gd name="T6" fmla="*/ 52 w 149"/>
                <a:gd name="T7" fmla="*/ 119 h 119"/>
                <a:gd name="T8" fmla="*/ 19 w 149"/>
                <a:gd name="T9" fmla="*/ 67 h 119"/>
                <a:gd name="T10" fmla="*/ 19 w 149"/>
                <a:gd name="T11" fmla="*/ 16 h 119"/>
                <a:gd name="T12" fmla="*/ 0 w 149"/>
                <a:gd name="T13" fmla="*/ 16 h 119"/>
                <a:gd name="T14" fmla="*/ 0 w 149"/>
                <a:gd name="T15" fmla="*/ 0 h 119"/>
                <a:gd name="T16" fmla="*/ 20 w 149"/>
                <a:gd name="T17" fmla="*/ 0 h 119"/>
                <a:gd name="T18" fmla="*/ 0 60000 65536"/>
                <a:gd name="T19" fmla="*/ 0 60000 65536"/>
                <a:gd name="T20" fmla="*/ 0 60000 65536"/>
                <a:gd name="T21" fmla="*/ 0 60000 65536"/>
                <a:gd name="T22" fmla="*/ 0 60000 65536"/>
                <a:gd name="T23" fmla="*/ 0 60000 65536"/>
                <a:gd name="T24" fmla="*/ 0 60000 65536"/>
                <a:gd name="T25" fmla="*/ 0 60000 65536"/>
                <a:gd name="T26" fmla="*/ 0 60000 65536"/>
                <a:gd name="T27" fmla="*/ 0 w 149"/>
                <a:gd name="T28" fmla="*/ 0 h 119"/>
                <a:gd name="T29" fmla="*/ 149 w 149"/>
                <a:gd name="T30" fmla="*/ 119 h 119"/>
              </a:gdLst>
              <a:ahLst/>
              <a:cxnLst>
                <a:cxn ang="T18">
                  <a:pos x="T0" y="T1"/>
                </a:cxn>
                <a:cxn ang="T19">
                  <a:pos x="T2" y="T3"/>
                </a:cxn>
                <a:cxn ang="T20">
                  <a:pos x="T4" y="T5"/>
                </a:cxn>
                <a:cxn ang="T21">
                  <a:pos x="T6" y="T7"/>
                </a:cxn>
                <a:cxn ang="T22">
                  <a:pos x="T8" y="T9"/>
                </a:cxn>
                <a:cxn ang="T23">
                  <a:pos x="T10" y="T11"/>
                </a:cxn>
                <a:cxn ang="T24">
                  <a:pos x="T12" y="T13"/>
                </a:cxn>
                <a:cxn ang="T25">
                  <a:pos x="T14" y="T15"/>
                </a:cxn>
                <a:cxn ang="T26">
                  <a:pos x="T16" y="T17"/>
                </a:cxn>
              </a:cxnLst>
              <a:rect l="T27" t="T28" r="T29" b="T30"/>
              <a:pathLst>
                <a:path w="149" h="119">
                  <a:moveTo>
                    <a:pt x="20" y="0"/>
                  </a:moveTo>
                  <a:lnTo>
                    <a:pt x="149" y="0"/>
                  </a:lnTo>
                  <a:lnTo>
                    <a:pt x="149" y="119"/>
                  </a:lnTo>
                  <a:lnTo>
                    <a:pt x="52" y="119"/>
                  </a:lnTo>
                  <a:lnTo>
                    <a:pt x="19" y="67"/>
                  </a:lnTo>
                  <a:lnTo>
                    <a:pt x="19" y="16"/>
                  </a:lnTo>
                  <a:lnTo>
                    <a:pt x="0" y="16"/>
                  </a:lnTo>
                  <a:lnTo>
                    <a:pt x="0" y="0"/>
                  </a:lnTo>
                  <a:lnTo>
                    <a:pt x="20" y="0"/>
                  </a:lnTo>
                  <a:close/>
                </a:path>
              </a:pathLst>
            </a:custGeom>
            <a:noFill/>
            <a:ln w="12700" cap="flat" cmpd="sng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grpSp>
          <xdr:nvGrpSpPr>
            <xdr:cNvPr id="45" name="Group 4">
              <a:extLst>
                <a:ext uri="{FF2B5EF4-FFF2-40B4-BE49-F238E27FC236}">
                  <a16:creationId xmlns:a16="http://schemas.microsoft.com/office/drawing/2014/main" id="{EC507967-6B0B-4B48-B3AF-70420582608B}"/>
                </a:ext>
              </a:extLst>
            </xdr:cNvPr>
            <xdr:cNvGrpSpPr>
              <a:grpSpLocks noChangeAspect="1"/>
            </xdr:cNvGrpSpPr>
          </xdr:nvGrpSpPr>
          <xdr:grpSpPr bwMode="auto">
            <a:xfrm>
              <a:off x="358" y="398"/>
              <a:ext cx="8" cy="7"/>
              <a:chOff x="266" y="271"/>
              <a:chExt cx="8" cy="7"/>
            </a:xfrm>
          </xdr:grpSpPr>
          <xdr:sp macro="" textlink="">
            <xdr:nvSpPr>
              <xdr:cNvPr id="49" name="Line 5">
                <a:extLst>
                  <a:ext uri="{FF2B5EF4-FFF2-40B4-BE49-F238E27FC236}">
                    <a16:creationId xmlns:a16="http://schemas.microsoft.com/office/drawing/2014/main" id="{9C101D23-6764-45CD-9342-D5D76FFA4D4B}"/>
                  </a:ext>
                </a:extLst>
              </xdr:cNvPr>
              <xdr:cNvSpPr>
                <a:spLocks noChangeAspect="1" noChangeShapeType="1"/>
              </xdr:cNvSpPr>
            </xdr:nvSpPr>
            <xdr:spPr bwMode="auto">
              <a:xfrm>
                <a:off x="266" y="278"/>
                <a:ext cx="8" cy="0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50" name="Line 6">
                <a:extLst>
                  <a:ext uri="{FF2B5EF4-FFF2-40B4-BE49-F238E27FC236}">
                    <a16:creationId xmlns:a16="http://schemas.microsoft.com/office/drawing/2014/main" id="{0D5B483B-7B0F-4095-AB32-C1B3282DBBCA}"/>
                  </a:ext>
                </a:extLst>
              </xdr:cNvPr>
              <xdr:cNvSpPr>
                <a:spLocks noChangeAspect="1" noChangeShapeType="1"/>
              </xdr:cNvSpPr>
            </xdr:nvSpPr>
            <xdr:spPr bwMode="auto">
              <a:xfrm>
                <a:off x="270" y="271"/>
                <a:ext cx="0" cy="6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</xdr:grpSp>
        <xdr:grpSp>
          <xdr:nvGrpSpPr>
            <xdr:cNvPr id="46" name="Group 7">
              <a:extLst>
                <a:ext uri="{FF2B5EF4-FFF2-40B4-BE49-F238E27FC236}">
                  <a16:creationId xmlns:a16="http://schemas.microsoft.com/office/drawing/2014/main" id="{EC6CBDCB-FF5E-400D-B0DB-403D7F444997}"/>
                </a:ext>
              </a:extLst>
            </xdr:cNvPr>
            <xdr:cNvGrpSpPr>
              <a:grpSpLocks noChangeAspect="1"/>
            </xdr:cNvGrpSpPr>
          </xdr:nvGrpSpPr>
          <xdr:grpSpPr bwMode="auto">
            <a:xfrm rot="10800000">
              <a:off x="358" y="409"/>
              <a:ext cx="8" cy="7"/>
              <a:chOff x="266" y="271"/>
              <a:chExt cx="8" cy="7"/>
            </a:xfrm>
          </xdr:grpSpPr>
          <xdr:sp macro="" textlink="">
            <xdr:nvSpPr>
              <xdr:cNvPr id="47" name="Line 8">
                <a:extLst>
                  <a:ext uri="{FF2B5EF4-FFF2-40B4-BE49-F238E27FC236}">
                    <a16:creationId xmlns:a16="http://schemas.microsoft.com/office/drawing/2014/main" id="{D6CBB41F-965C-4B5A-85A0-F4015996BAF3}"/>
                  </a:ext>
                </a:extLst>
              </xdr:cNvPr>
              <xdr:cNvSpPr>
                <a:spLocks noChangeAspect="1" noChangeShapeType="1"/>
              </xdr:cNvSpPr>
            </xdr:nvSpPr>
            <xdr:spPr bwMode="auto">
              <a:xfrm>
                <a:off x="266" y="278"/>
                <a:ext cx="8" cy="0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48" name="Line 9">
                <a:extLst>
                  <a:ext uri="{FF2B5EF4-FFF2-40B4-BE49-F238E27FC236}">
                    <a16:creationId xmlns:a16="http://schemas.microsoft.com/office/drawing/2014/main" id="{255AF656-39F8-424A-8154-CDBD12498FDD}"/>
                  </a:ext>
                </a:extLst>
              </xdr:cNvPr>
              <xdr:cNvSpPr>
                <a:spLocks noChangeAspect="1" noChangeShapeType="1"/>
              </xdr:cNvSpPr>
            </xdr:nvSpPr>
            <xdr:spPr bwMode="auto">
              <a:xfrm>
                <a:off x="270" y="271"/>
                <a:ext cx="0" cy="6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</xdr:grpSp>
      </xdr:grpSp>
      <xdr:grpSp>
        <xdr:nvGrpSpPr>
          <xdr:cNvPr id="35" name="Group 11">
            <a:extLst>
              <a:ext uri="{FF2B5EF4-FFF2-40B4-BE49-F238E27FC236}">
                <a16:creationId xmlns:a16="http://schemas.microsoft.com/office/drawing/2014/main" id="{850054E1-0EA6-4F2A-99D1-CBA6960109D5}"/>
              </a:ext>
            </a:extLst>
          </xdr:cNvPr>
          <xdr:cNvGrpSpPr>
            <a:grpSpLocks noChangeAspect="1"/>
          </xdr:cNvGrpSpPr>
        </xdr:nvGrpSpPr>
        <xdr:grpSpPr bwMode="auto">
          <a:xfrm rot="16200000">
            <a:off x="9290403" y="8231437"/>
            <a:ext cx="72415" cy="60133"/>
            <a:chOff x="266" y="271"/>
            <a:chExt cx="8" cy="7"/>
          </a:xfrm>
        </xdr:grpSpPr>
        <xdr:sp macro="" textlink="">
          <xdr:nvSpPr>
            <xdr:cNvPr id="42" name="Line 12">
              <a:extLst>
                <a:ext uri="{FF2B5EF4-FFF2-40B4-BE49-F238E27FC236}">
                  <a16:creationId xmlns:a16="http://schemas.microsoft.com/office/drawing/2014/main" id="{90D8146D-5547-4DD0-829D-8A5ED4A4F77F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266" y="278"/>
              <a:ext cx="8" cy="0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43" name="Line 13">
              <a:extLst>
                <a:ext uri="{FF2B5EF4-FFF2-40B4-BE49-F238E27FC236}">
                  <a16:creationId xmlns:a16="http://schemas.microsoft.com/office/drawing/2014/main" id="{8AA23DBB-A6FA-455F-9CFA-865D133B05E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270" y="271"/>
              <a:ext cx="0" cy="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36" name="Group 14">
            <a:extLst>
              <a:ext uri="{FF2B5EF4-FFF2-40B4-BE49-F238E27FC236}">
                <a16:creationId xmlns:a16="http://schemas.microsoft.com/office/drawing/2014/main" id="{B9610BD0-DC11-40FD-9C15-516688106EA5}"/>
              </a:ext>
            </a:extLst>
          </xdr:cNvPr>
          <xdr:cNvGrpSpPr>
            <a:grpSpLocks noChangeAspect="1"/>
          </xdr:cNvGrpSpPr>
        </xdr:nvGrpSpPr>
        <xdr:grpSpPr bwMode="auto">
          <a:xfrm rot="16200000">
            <a:off x="9288464" y="8637669"/>
            <a:ext cx="76293" cy="60133"/>
            <a:chOff x="266" y="271"/>
            <a:chExt cx="8" cy="7"/>
          </a:xfrm>
        </xdr:grpSpPr>
        <xdr:sp macro="" textlink="">
          <xdr:nvSpPr>
            <xdr:cNvPr id="40" name="Line 15">
              <a:extLst>
                <a:ext uri="{FF2B5EF4-FFF2-40B4-BE49-F238E27FC236}">
                  <a16:creationId xmlns:a16="http://schemas.microsoft.com/office/drawing/2014/main" id="{A2B48481-3BA8-43CD-923C-4E433E395E0D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266" y="278"/>
              <a:ext cx="8" cy="0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41" name="Line 16">
              <a:extLst>
                <a:ext uri="{FF2B5EF4-FFF2-40B4-BE49-F238E27FC236}">
                  <a16:creationId xmlns:a16="http://schemas.microsoft.com/office/drawing/2014/main" id="{F95948E4-30F8-4041-95B4-F7B6588A8E56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270" y="271"/>
              <a:ext cx="0" cy="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37" name="Group 17">
            <a:extLst>
              <a:ext uri="{FF2B5EF4-FFF2-40B4-BE49-F238E27FC236}">
                <a16:creationId xmlns:a16="http://schemas.microsoft.com/office/drawing/2014/main" id="{B97F0CCF-39F2-47E6-BDB3-76874C06D251}"/>
              </a:ext>
            </a:extLst>
          </xdr:cNvPr>
          <xdr:cNvGrpSpPr>
            <a:grpSpLocks noChangeAspect="1"/>
          </xdr:cNvGrpSpPr>
        </xdr:nvGrpSpPr>
        <xdr:grpSpPr bwMode="auto">
          <a:xfrm rot="16200000">
            <a:off x="9288463" y="7886360"/>
            <a:ext cx="76295" cy="60133"/>
            <a:chOff x="266" y="271"/>
            <a:chExt cx="8" cy="7"/>
          </a:xfrm>
        </xdr:grpSpPr>
        <xdr:sp macro="" textlink="">
          <xdr:nvSpPr>
            <xdr:cNvPr id="38" name="Line 18">
              <a:extLst>
                <a:ext uri="{FF2B5EF4-FFF2-40B4-BE49-F238E27FC236}">
                  <a16:creationId xmlns:a16="http://schemas.microsoft.com/office/drawing/2014/main" id="{C71FFA56-2718-476A-A84A-439CF9C2668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266" y="278"/>
              <a:ext cx="8" cy="0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9" name="Line 19">
              <a:extLst>
                <a:ext uri="{FF2B5EF4-FFF2-40B4-BE49-F238E27FC236}">
                  <a16:creationId xmlns:a16="http://schemas.microsoft.com/office/drawing/2014/main" id="{07F14382-A2BB-4A72-95E8-0F46B97BBFF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270" y="271"/>
              <a:ext cx="0" cy="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</xdr:grpSp>
    <xdr:clientData/>
  </xdr:twoCellAnchor>
  <xdr:twoCellAnchor>
    <xdr:from>
      <xdr:col>22</xdr:col>
      <xdr:colOff>334139</xdr:colOff>
      <xdr:row>43</xdr:row>
      <xdr:rowOff>155616</xdr:rowOff>
    </xdr:from>
    <xdr:to>
      <xdr:col>23</xdr:col>
      <xdr:colOff>196757</xdr:colOff>
      <xdr:row>45</xdr:row>
      <xdr:rowOff>52405</xdr:rowOff>
    </xdr:to>
    <xdr:grpSp>
      <xdr:nvGrpSpPr>
        <xdr:cNvPr id="51" name="Group 2">
          <a:extLst>
            <a:ext uri="{FF2B5EF4-FFF2-40B4-BE49-F238E27FC236}">
              <a16:creationId xmlns:a16="http://schemas.microsoft.com/office/drawing/2014/main" id="{6D1BEEFF-21EA-4D42-AA09-47EB33595536}"/>
            </a:ext>
          </a:extLst>
        </xdr:cNvPr>
        <xdr:cNvGrpSpPr>
          <a:grpSpLocks/>
        </xdr:cNvGrpSpPr>
      </xdr:nvGrpSpPr>
      <xdr:grpSpPr bwMode="auto">
        <a:xfrm>
          <a:off x="10383014" y="8394741"/>
          <a:ext cx="315056" cy="277789"/>
          <a:chOff x="5372100" y="5993541"/>
          <a:chExt cx="309563" cy="292959"/>
        </a:xfrm>
      </xdr:grpSpPr>
      <xdr:sp macro="" textlink="">
        <xdr:nvSpPr>
          <xdr:cNvPr id="52" name="Oval 3921">
            <a:extLst>
              <a:ext uri="{FF2B5EF4-FFF2-40B4-BE49-F238E27FC236}">
                <a16:creationId xmlns:a16="http://schemas.microsoft.com/office/drawing/2014/main" id="{64BF776D-39E4-4C87-9CFF-631B9E83A5FC}"/>
              </a:ext>
            </a:extLst>
          </xdr:cNvPr>
          <xdr:cNvSpPr>
            <a:spLocks noChangeAspect="1" noChangeArrowheads="1"/>
          </xdr:cNvSpPr>
        </xdr:nvSpPr>
        <xdr:spPr bwMode="auto">
          <a:xfrm rot="5400000">
            <a:off x="5367000" y="6026871"/>
            <a:ext cx="264729" cy="254529"/>
          </a:xfrm>
          <a:prstGeom prst="ellips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53" name="Line 3924">
            <a:extLst>
              <a:ext uri="{FF2B5EF4-FFF2-40B4-BE49-F238E27FC236}">
                <a16:creationId xmlns:a16="http://schemas.microsoft.com/office/drawing/2014/main" id="{EE0C4426-0B4F-470C-BF64-8EE90C9E38CC}"/>
              </a:ext>
            </a:extLst>
          </xdr:cNvPr>
          <xdr:cNvSpPr>
            <a:spLocks noChangeAspect="1" noChangeShapeType="1"/>
          </xdr:cNvSpPr>
        </xdr:nvSpPr>
        <xdr:spPr bwMode="auto">
          <a:xfrm rot="5400000" flipV="1">
            <a:off x="5592761" y="5933766"/>
            <a:ext cx="0" cy="177804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4" name="Line 3920">
            <a:extLst>
              <a:ext uri="{FF2B5EF4-FFF2-40B4-BE49-F238E27FC236}">
                <a16:creationId xmlns:a16="http://schemas.microsoft.com/office/drawing/2014/main" id="{5E0A0473-3B1A-40AE-914B-88BAED578473}"/>
              </a:ext>
            </a:extLst>
          </xdr:cNvPr>
          <xdr:cNvSpPr>
            <a:spLocks noChangeAspect="1" noChangeShapeType="1"/>
          </xdr:cNvSpPr>
        </xdr:nvSpPr>
        <xdr:spPr bwMode="auto">
          <a:xfrm rot="10800000">
            <a:off x="5681403" y="5993541"/>
            <a:ext cx="0" cy="58738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5" name="Oval 3921">
            <a:extLst>
              <a:ext uri="{FF2B5EF4-FFF2-40B4-BE49-F238E27FC236}">
                <a16:creationId xmlns:a16="http://schemas.microsoft.com/office/drawing/2014/main" id="{D3652D3C-8D73-40AE-94B9-301A3D9F3940}"/>
              </a:ext>
            </a:extLst>
          </xdr:cNvPr>
          <xdr:cNvSpPr>
            <a:spLocks noChangeAspect="1" noChangeArrowheads="1"/>
          </xdr:cNvSpPr>
        </xdr:nvSpPr>
        <xdr:spPr bwMode="auto">
          <a:xfrm rot="5400000" flipH="1" flipV="1">
            <a:off x="5468339" y="6122729"/>
            <a:ext cx="47551" cy="45719"/>
          </a:xfrm>
          <a:prstGeom prst="ellips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</xdr:grpSp>
    <xdr:clientData/>
  </xdr:twoCellAnchor>
  <xdr:twoCellAnchor>
    <xdr:from>
      <xdr:col>20</xdr:col>
      <xdr:colOff>332538</xdr:colOff>
      <xdr:row>44</xdr:row>
      <xdr:rowOff>95628</xdr:rowOff>
    </xdr:from>
    <xdr:to>
      <xdr:col>22</xdr:col>
      <xdr:colOff>443684</xdr:colOff>
      <xdr:row>44</xdr:row>
      <xdr:rowOff>95628</xdr:rowOff>
    </xdr:to>
    <xdr:sp macro="" textlink="">
      <xdr:nvSpPr>
        <xdr:cNvPr id="56" name="Line 463">
          <a:extLst>
            <a:ext uri="{FF2B5EF4-FFF2-40B4-BE49-F238E27FC236}">
              <a16:creationId xmlns:a16="http://schemas.microsoft.com/office/drawing/2014/main" id="{1A540FF8-C0BF-4F41-85F7-D057594083B2}"/>
            </a:ext>
          </a:extLst>
        </xdr:cNvPr>
        <xdr:cNvSpPr>
          <a:spLocks noChangeShapeType="1"/>
        </xdr:cNvSpPr>
      </xdr:nvSpPr>
      <xdr:spPr bwMode="auto">
        <a:xfrm rot="10800000" flipH="1">
          <a:off x="9419388" y="8125203"/>
          <a:ext cx="1016021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435429</xdr:colOff>
      <xdr:row>24</xdr:row>
      <xdr:rowOff>2401</xdr:rowOff>
    </xdr:from>
    <xdr:to>
      <xdr:col>17</xdr:col>
      <xdr:colOff>221834</xdr:colOff>
      <xdr:row>25</xdr:row>
      <xdr:rowOff>40821</xdr:rowOff>
    </xdr:to>
    <xdr:sp macro="" textlink="">
      <xdr:nvSpPr>
        <xdr:cNvPr id="57" name="Freeform 56">
          <a:extLst>
            <a:ext uri="{FF2B5EF4-FFF2-40B4-BE49-F238E27FC236}">
              <a16:creationId xmlns:a16="http://schemas.microsoft.com/office/drawing/2014/main" id="{22FFFE7B-2838-4450-8403-614A4718467B}"/>
            </a:ext>
          </a:extLst>
        </xdr:cNvPr>
        <xdr:cNvSpPr>
          <a:spLocks/>
        </xdr:cNvSpPr>
      </xdr:nvSpPr>
      <xdr:spPr bwMode="auto">
        <a:xfrm>
          <a:off x="6807654" y="4383901"/>
          <a:ext cx="1148480" cy="219395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17</xdr:col>
      <xdr:colOff>181247</xdr:colOff>
      <xdr:row>25</xdr:row>
      <xdr:rowOff>35881</xdr:rowOff>
    </xdr:from>
    <xdr:to>
      <xdr:col>19</xdr:col>
      <xdr:colOff>181571</xdr:colOff>
      <xdr:row>27</xdr:row>
      <xdr:rowOff>174673</xdr:rowOff>
    </xdr:to>
    <xdr:grpSp>
      <xdr:nvGrpSpPr>
        <xdr:cNvPr id="58" name="Group 57">
          <a:extLst>
            <a:ext uri="{FF2B5EF4-FFF2-40B4-BE49-F238E27FC236}">
              <a16:creationId xmlns:a16="http://schemas.microsoft.com/office/drawing/2014/main" id="{59B5A76B-3C80-43F4-B93C-53F465D98E7E}"/>
            </a:ext>
          </a:extLst>
        </xdr:cNvPr>
        <xdr:cNvGrpSpPr>
          <a:grpSpLocks noChangeAspect="1"/>
        </xdr:cNvGrpSpPr>
      </xdr:nvGrpSpPr>
      <xdr:grpSpPr bwMode="auto">
        <a:xfrm rot="20862853">
          <a:off x="7967935" y="4822194"/>
          <a:ext cx="905199" cy="519792"/>
          <a:chOff x="866" y="722"/>
          <a:chExt cx="1551" cy="896"/>
        </a:xfrm>
      </xdr:grpSpPr>
      <xdr:sp macro="" textlink="">
        <xdr:nvSpPr>
          <xdr:cNvPr id="59" name="Line 58">
            <a:extLst>
              <a:ext uri="{FF2B5EF4-FFF2-40B4-BE49-F238E27FC236}">
                <a16:creationId xmlns:a16="http://schemas.microsoft.com/office/drawing/2014/main" id="{A693AB40-A3C4-4B7E-B084-7291C7AB4B5D}"/>
              </a:ext>
            </a:extLst>
          </xdr:cNvPr>
          <xdr:cNvSpPr>
            <a:spLocks noChangeAspect="1" noChangeShapeType="1"/>
          </xdr:cNvSpPr>
        </xdr:nvSpPr>
        <xdr:spPr bwMode="auto">
          <a:xfrm>
            <a:off x="904" y="722"/>
            <a:ext cx="1513" cy="321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0" name="Line 59">
            <a:extLst>
              <a:ext uri="{FF2B5EF4-FFF2-40B4-BE49-F238E27FC236}">
                <a16:creationId xmlns:a16="http://schemas.microsoft.com/office/drawing/2014/main" id="{674451EC-2C84-4C64-A40E-C8ECD7283ED3}"/>
              </a:ext>
            </a:extLst>
          </xdr:cNvPr>
          <xdr:cNvSpPr>
            <a:spLocks noChangeAspect="1" noChangeShapeType="1"/>
          </xdr:cNvSpPr>
        </xdr:nvSpPr>
        <xdr:spPr bwMode="auto">
          <a:xfrm>
            <a:off x="885" y="812"/>
            <a:ext cx="1513" cy="322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1" name="Line 60">
            <a:extLst>
              <a:ext uri="{FF2B5EF4-FFF2-40B4-BE49-F238E27FC236}">
                <a16:creationId xmlns:a16="http://schemas.microsoft.com/office/drawing/2014/main" id="{BADCFBF2-AACC-493C-9B82-A916F8F70928}"/>
              </a:ext>
            </a:extLst>
          </xdr:cNvPr>
          <xdr:cNvSpPr>
            <a:spLocks noChangeAspect="1" noChangeShapeType="1"/>
          </xdr:cNvSpPr>
        </xdr:nvSpPr>
        <xdr:spPr bwMode="auto">
          <a:xfrm>
            <a:off x="866" y="903"/>
            <a:ext cx="1513" cy="321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2" name="Line 61">
            <a:extLst>
              <a:ext uri="{FF2B5EF4-FFF2-40B4-BE49-F238E27FC236}">
                <a16:creationId xmlns:a16="http://schemas.microsoft.com/office/drawing/2014/main" id="{D2B99195-34C2-4FB8-B286-C3DDB76D1391}"/>
              </a:ext>
            </a:extLst>
          </xdr:cNvPr>
          <xdr:cNvSpPr>
            <a:spLocks noChangeAspect="1" noChangeShapeType="1"/>
          </xdr:cNvSpPr>
        </xdr:nvSpPr>
        <xdr:spPr bwMode="auto">
          <a:xfrm>
            <a:off x="866" y="903"/>
            <a:ext cx="1035" cy="715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3" name="Line 62">
            <a:extLst>
              <a:ext uri="{FF2B5EF4-FFF2-40B4-BE49-F238E27FC236}">
                <a16:creationId xmlns:a16="http://schemas.microsoft.com/office/drawing/2014/main" id="{20D67A42-7474-410F-9EB5-02FC99345DDC}"/>
              </a:ext>
            </a:extLst>
          </xdr:cNvPr>
          <xdr:cNvSpPr>
            <a:spLocks noChangeAspect="1" noChangeShapeType="1"/>
          </xdr:cNvSpPr>
        </xdr:nvSpPr>
        <xdr:spPr bwMode="auto">
          <a:xfrm flipH="1">
            <a:off x="885" y="722"/>
            <a:ext cx="19" cy="9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4" name="Line 63">
            <a:extLst>
              <a:ext uri="{FF2B5EF4-FFF2-40B4-BE49-F238E27FC236}">
                <a16:creationId xmlns:a16="http://schemas.microsoft.com/office/drawing/2014/main" id="{CEE8D0E6-4271-4B68-A6B4-6E29317DB7B6}"/>
              </a:ext>
            </a:extLst>
          </xdr:cNvPr>
          <xdr:cNvSpPr>
            <a:spLocks noChangeAspect="1" noChangeShapeType="1"/>
          </xdr:cNvSpPr>
        </xdr:nvSpPr>
        <xdr:spPr bwMode="auto">
          <a:xfrm flipV="1">
            <a:off x="1901" y="1224"/>
            <a:ext cx="478" cy="394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5" name="Line 64">
            <a:extLst>
              <a:ext uri="{FF2B5EF4-FFF2-40B4-BE49-F238E27FC236}">
                <a16:creationId xmlns:a16="http://schemas.microsoft.com/office/drawing/2014/main" id="{D9561449-0D91-4171-AB1F-C65BEDF061E8}"/>
              </a:ext>
            </a:extLst>
          </xdr:cNvPr>
          <xdr:cNvSpPr>
            <a:spLocks noChangeAspect="1" noChangeShapeType="1"/>
          </xdr:cNvSpPr>
        </xdr:nvSpPr>
        <xdr:spPr bwMode="auto">
          <a:xfrm flipH="1">
            <a:off x="2398" y="1043"/>
            <a:ext cx="19" cy="91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18</xdr:col>
      <xdr:colOff>382616</xdr:colOff>
      <xdr:row>27</xdr:row>
      <xdr:rowOff>122315</xdr:rowOff>
    </xdr:from>
    <xdr:to>
      <xdr:col>18</xdr:col>
      <xdr:colOff>382616</xdr:colOff>
      <xdr:row>42</xdr:row>
      <xdr:rowOff>153411</xdr:rowOff>
    </xdr:to>
    <xdr:sp macro="" textlink="">
      <xdr:nvSpPr>
        <xdr:cNvPr id="66" name="Line 463">
          <a:extLst>
            <a:ext uri="{FF2B5EF4-FFF2-40B4-BE49-F238E27FC236}">
              <a16:creationId xmlns:a16="http://schemas.microsoft.com/office/drawing/2014/main" id="{C59A0D09-04F1-4330-B2B1-AB6010E020BA}"/>
            </a:ext>
          </a:extLst>
        </xdr:cNvPr>
        <xdr:cNvSpPr>
          <a:spLocks noChangeShapeType="1"/>
        </xdr:cNvSpPr>
      </xdr:nvSpPr>
      <xdr:spPr bwMode="auto">
        <a:xfrm rot="16200000" flipH="1">
          <a:off x="7186968" y="6433888"/>
          <a:ext cx="2774296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16905</xdr:colOff>
      <xdr:row>26</xdr:row>
      <xdr:rowOff>4559</xdr:rowOff>
    </xdr:from>
    <xdr:to>
      <xdr:col>23</xdr:col>
      <xdr:colOff>332077</xdr:colOff>
      <xdr:row>26</xdr:row>
      <xdr:rowOff>4559</xdr:rowOff>
    </xdr:to>
    <xdr:sp macro="" textlink="">
      <xdr:nvSpPr>
        <xdr:cNvPr id="67" name="Line 463">
          <a:extLst>
            <a:ext uri="{FF2B5EF4-FFF2-40B4-BE49-F238E27FC236}">
              <a16:creationId xmlns:a16="http://schemas.microsoft.com/office/drawing/2014/main" id="{2A3CEF1F-665B-4CE1-8DAF-B7FB4AAF213F}"/>
            </a:ext>
          </a:extLst>
        </xdr:cNvPr>
        <xdr:cNvSpPr>
          <a:spLocks noChangeShapeType="1"/>
        </xdr:cNvSpPr>
      </xdr:nvSpPr>
      <xdr:spPr bwMode="auto">
        <a:xfrm rot="10800000" flipH="1">
          <a:off x="9103755" y="4748009"/>
          <a:ext cx="1677247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414857</xdr:colOff>
      <xdr:row>4</xdr:row>
      <xdr:rowOff>50178</xdr:rowOff>
    </xdr:from>
    <xdr:to>
      <xdr:col>30</xdr:col>
      <xdr:colOff>389080</xdr:colOff>
      <xdr:row>9</xdr:row>
      <xdr:rowOff>152231</xdr:rowOff>
    </xdr:to>
    <xdr:grpSp>
      <xdr:nvGrpSpPr>
        <xdr:cNvPr id="68" name="Group 569">
          <a:extLst>
            <a:ext uri="{FF2B5EF4-FFF2-40B4-BE49-F238E27FC236}">
              <a16:creationId xmlns:a16="http://schemas.microsoft.com/office/drawing/2014/main" id="{128F69E0-B9D6-4F5D-AB7B-748E0592A968}"/>
            </a:ext>
          </a:extLst>
        </xdr:cNvPr>
        <xdr:cNvGrpSpPr>
          <a:grpSpLocks/>
        </xdr:cNvGrpSpPr>
      </xdr:nvGrpSpPr>
      <xdr:grpSpPr bwMode="auto">
        <a:xfrm>
          <a:off x="12297295" y="812178"/>
          <a:ext cx="1783973" cy="1054553"/>
          <a:chOff x="466" y="109"/>
          <a:chExt cx="165" cy="116"/>
        </a:xfrm>
      </xdr:grpSpPr>
      <xdr:sp macro="" textlink="">
        <xdr:nvSpPr>
          <xdr:cNvPr id="69" name="Freeform 570">
            <a:extLst>
              <a:ext uri="{FF2B5EF4-FFF2-40B4-BE49-F238E27FC236}">
                <a16:creationId xmlns:a16="http://schemas.microsoft.com/office/drawing/2014/main" id="{83B2D737-28EA-4160-AF46-60104A87A1DA}"/>
              </a:ext>
            </a:extLst>
          </xdr:cNvPr>
          <xdr:cNvSpPr>
            <a:spLocks/>
          </xdr:cNvSpPr>
        </xdr:nvSpPr>
        <xdr:spPr bwMode="auto">
          <a:xfrm flipH="1">
            <a:off x="532" y="129"/>
            <a:ext cx="15" cy="18"/>
          </a:xfrm>
          <a:custGeom>
            <a:avLst/>
            <a:gdLst>
              <a:gd name="T0" fmla="*/ 0 w 18"/>
              <a:gd name="T1" fmla="*/ 18 h 18"/>
              <a:gd name="T2" fmla="*/ 2 w 18"/>
              <a:gd name="T3" fmla="*/ 18 h 18"/>
              <a:gd name="T4" fmla="*/ 2 w 18"/>
              <a:gd name="T5" fmla="*/ 7 h 18"/>
              <a:gd name="T6" fmla="*/ 2 w 18"/>
              <a:gd name="T7" fmla="*/ 2 h 18"/>
              <a:gd name="T8" fmla="*/ 2 w 18"/>
              <a:gd name="T9" fmla="*/ 0 h 18"/>
              <a:gd name="T10" fmla="*/ 2 w 18"/>
              <a:gd name="T11" fmla="*/ 0 h 18"/>
              <a:gd name="T12" fmla="*/ 2 w 18"/>
              <a:gd name="T13" fmla="*/ 2 h 18"/>
              <a:gd name="T14" fmla="*/ 0 w 18"/>
              <a:gd name="T15" fmla="*/ 6 h 18"/>
              <a:gd name="T16" fmla="*/ 0 w 18"/>
              <a:gd name="T17" fmla="*/ 18 h 18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18"/>
              <a:gd name="T28" fmla="*/ 0 h 18"/>
              <a:gd name="T29" fmla="*/ 18 w 18"/>
              <a:gd name="T30" fmla="*/ 18 h 18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18" h="18">
                <a:moveTo>
                  <a:pt x="0" y="18"/>
                </a:moveTo>
                <a:lnTo>
                  <a:pt x="18" y="18"/>
                </a:lnTo>
                <a:lnTo>
                  <a:pt x="18" y="7"/>
                </a:lnTo>
                <a:lnTo>
                  <a:pt x="16" y="2"/>
                </a:lnTo>
                <a:lnTo>
                  <a:pt x="12" y="0"/>
                </a:lnTo>
                <a:lnTo>
                  <a:pt x="5" y="0"/>
                </a:lnTo>
                <a:lnTo>
                  <a:pt x="2" y="2"/>
                </a:lnTo>
                <a:lnTo>
                  <a:pt x="0" y="6"/>
                </a:lnTo>
                <a:lnTo>
                  <a:pt x="0" y="18"/>
                </a:lnTo>
                <a:close/>
              </a:path>
            </a:pathLst>
          </a:custGeom>
          <a:noFill/>
          <a:ln w="12700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70" name="Line 571">
            <a:extLst>
              <a:ext uri="{FF2B5EF4-FFF2-40B4-BE49-F238E27FC236}">
                <a16:creationId xmlns:a16="http://schemas.microsoft.com/office/drawing/2014/main" id="{B31A63A9-FEC7-4B83-91B2-9C623B092A32}"/>
              </a:ext>
            </a:extLst>
          </xdr:cNvPr>
          <xdr:cNvSpPr>
            <a:spLocks noChangeShapeType="1"/>
          </xdr:cNvSpPr>
        </xdr:nvSpPr>
        <xdr:spPr bwMode="auto">
          <a:xfrm flipH="1">
            <a:off x="540" y="147"/>
            <a:ext cx="0" cy="27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1" name="Line 572">
            <a:extLst>
              <a:ext uri="{FF2B5EF4-FFF2-40B4-BE49-F238E27FC236}">
                <a16:creationId xmlns:a16="http://schemas.microsoft.com/office/drawing/2014/main" id="{1C691805-BDDB-47BD-A3B3-88F3DB7ACBA3}"/>
              </a:ext>
            </a:extLst>
          </xdr:cNvPr>
          <xdr:cNvSpPr>
            <a:spLocks noChangeShapeType="1"/>
          </xdr:cNvSpPr>
        </xdr:nvSpPr>
        <xdr:spPr bwMode="auto">
          <a:xfrm flipH="1">
            <a:off x="537" y="174"/>
            <a:ext cx="6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2" name="Line 573">
            <a:extLst>
              <a:ext uri="{FF2B5EF4-FFF2-40B4-BE49-F238E27FC236}">
                <a16:creationId xmlns:a16="http://schemas.microsoft.com/office/drawing/2014/main" id="{3675DBF4-5D9E-4B25-9C5C-B67CA0AD30E9}"/>
              </a:ext>
            </a:extLst>
          </xdr:cNvPr>
          <xdr:cNvSpPr>
            <a:spLocks noChangeShapeType="1"/>
          </xdr:cNvSpPr>
        </xdr:nvSpPr>
        <xdr:spPr bwMode="auto">
          <a:xfrm flipH="1">
            <a:off x="537" y="176"/>
            <a:ext cx="6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3" name="Line 574">
            <a:extLst>
              <a:ext uri="{FF2B5EF4-FFF2-40B4-BE49-F238E27FC236}">
                <a16:creationId xmlns:a16="http://schemas.microsoft.com/office/drawing/2014/main" id="{240D9943-24F6-420D-A51B-D26604A154FC}"/>
              </a:ext>
            </a:extLst>
          </xdr:cNvPr>
          <xdr:cNvSpPr>
            <a:spLocks noChangeShapeType="1"/>
          </xdr:cNvSpPr>
        </xdr:nvSpPr>
        <xdr:spPr bwMode="auto">
          <a:xfrm flipH="1">
            <a:off x="526" y="139"/>
            <a:ext cx="6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4" name="Line 575">
            <a:extLst>
              <a:ext uri="{FF2B5EF4-FFF2-40B4-BE49-F238E27FC236}">
                <a16:creationId xmlns:a16="http://schemas.microsoft.com/office/drawing/2014/main" id="{1D4DC009-80F4-47F2-BFC2-7CA8E08CEE68}"/>
              </a:ext>
            </a:extLst>
          </xdr:cNvPr>
          <xdr:cNvSpPr>
            <a:spLocks noChangeShapeType="1"/>
          </xdr:cNvSpPr>
        </xdr:nvSpPr>
        <xdr:spPr bwMode="auto">
          <a:xfrm>
            <a:off x="547" y="139"/>
            <a:ext cx="6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5" name="Line 576">
            <a:extLst>
              <a:ext uri="{FF2B5EF4-FFF2-40B4-BE49-F238E27FC236}">
                <a16:creationId xmlns:a16="http://schemas.microsoft.com/office/drawing/2014/main" id="{6AC8EB27-F754-459D-8ED8-AD3546364A39}"/>
              </a:ext>
            </a:extLst>
          </xdr:cNvPr>
          <xdr:cNvSpPr>
            <a:spLocks noChangeShapeType="1"/>
          </xdr:cNvSpPr>
        </xdr:nvSpPr>
        <xdr:spPr bwMode="auto">
          <a:xfrm flipH="1">
            <a:off x="515" y="139"/>
            <a:ext cx="7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6" name="Line 577">
            <a:extLst>
              <a:ext uri="{FF2B5EF4-FFF2-40B4-BE49-F238E27FC236}">
                <a16:creationId xmlns:a16="http://schemas.microsoft.com/office/drawing/2014/main" id="{9F16B3E4-1C53-4848-A6E8-7F0037D70D90}"/>
              </a:ext>
            </a:extLst>
          </xdr:cNvPr>
          <xdr:cNvSpPr>
            <a:spLocks noChangeShapeType="1"/>
          </xdr:cNvSpPr>
        </xdr:nvSpPr>
        <xdr:spPr bwMode="auto">
          <a:xfrm>
            <a:off x="557" y="139"/>
            <a:ext cx="6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7" name="Line 578">
            <a:extLst>
              <a:ext uri="{FF2B5EF4-FFF2-40B4-BE49-F238E27FC236}">
                <a16:creationId xmlns:a16="http://schemas.microsoft.com/office/drawing/2014/main" id="{B1384BFC-8F4D-4468-9550-E47B958EE9CF}"/>
              </a:ext>
            </a:extLst>
          </xdr:cNvPr>
          <xdr:cNvSpPr>
            <a:spLocks noChangeShapeType="1"/>
          </xdr:cNvSpPr>
        </xdr:nvSpPr>
        <xdr:spPr bwMode="auto">
          <a:xfrm flipH="1">
            <a:off x="503" y="195"/>
            <a:ext cx="0" cy="18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78" name="Group 579">
            <a:extLst>
              <a:ext uri="{FF2B5EF4-FFF2-40B4-BE49-F238E27FC236}">
                <a16:creationId xmlns:a16="http://schemas.microsoft.com/office/drawing/2014/main" id="{20E1A371-9F44-4EDD-9B4D-07B3D80B8575}"/>
              </a:ext>
            </a:extLst>
          </xdr:cNvPr>
          <xdr:cNvGrpSpPr>
            <a:grpSpLocks noChangeAspect="1"/>
          </xdr:cNvGrpSpPr>
        </xdr:nvGrpSpPr>
        <xdr:grpSpPr bwMode="auto">
          <a:xfrm flipH="1">
            <a:off x="495" y="127"/>
            <a:ext cx="20" cy="67"/>
            <a:chOff x="3745" y="625"/>
            <a:chExt cx="464" cy="987"/>
          </a:xfrm>
        </xdr:grpSpPr>
        <xdr:sp macro="" textlink="">
          <xdr:nvSpPr>
            <xdr:cNvPr id="141" name="Line 580">
              <a:extLst>
                <a:ext uri="{FF2B5EF4-FFF2-40B4-BE49-F238E27FC236}">
                  <a16:creationId xmlns:a16="http://schemas.microsoft.com/office/drawing/2014/main" id="{B277EE78-1DE8-4DFD-A875-99D18810F05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974" y="1611"/>
              <a:ext cx="117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2" name="Line 581">
              <a:extLst>
                <a:ext uri="{FF2B5EF4-FFF2-40B4-BE49-F238E27FC236}">
                  <a16:creationId xmlns:a16="http://schemas.microsoft.com/office/drawing/2014/main" id="{53CE07B9-0BF9-4D15-B8B1-0B7DCC549009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74" y="1548"/>
              <a:ext cx="1" cy="63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3" name="Line 582">
              <a:extLst>
                <a:ext uri="{FF2B5EF4-FFF2-40B4-BE49-F238E27FC236}">
                  <a16:creationId xmlns:a16="http://schemas.microsoft.com/office/drawing/2014/main" id="{2A5F3B63-925E-4077-8B77-48FB0AB5498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548"/>
              <a:ext cx="1" cy="63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4" name="Line 583">
              <a:extLst>
                <a:ext uri="{FF2B5EF4-FFF2-40B4-BE49-F238E27FC236}">
                  <a16:creationId xmlns:a16="http://schemas.microsoft.com/office/drawing/2014/main" id="{F197D73D-AE2B-4CDD-8BE2-22F0E8CDDAC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032" y="625"/>
              <a:ext cx="98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5" name="Line 584">
              <a:extLst>
                <a:ext uri="{FF2B5EF4-FFF2-40B4-BE49-F238E27FC236}">
                  <a16:creationId xmlns:a16="http://schemas.microsoft.com/office/drawing/2014/main" id="{7F7A0B8D-53DA-451D-9E3D-5DE75DD2656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130" y="625"/>
              <a:ext cx="1" cy="10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6" name="Line 585">
              <a:extLst>
                <a:ext uri="{FF2B5EF4-FFF2-40B4-BE49-F238E27FC236}">
                  <a16:creationId xmlns:a16="http://schemas.microsoft.com/office/drawing/2014/main" id="{9322DDAE-C89D-41E3-8CFD-6EDDA5E256E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35" y="625"/>
              <a:ext cx="1" cy="10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7" name="Line 586">
              <a:extLst>
                <a:ext uri="{FF2B5EF4-FFF2-40B4-BE49-F238E27FC236}">
                  <a16:creationId xmlns:a16="http://schemas.microsoft.com/office/drawing/2014/main" id="{CE44D298-2E60-40B5-A458-D5A8BB9A945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935" y="625"/>
              <a:ext cx="97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8" name="Line 587">
              <a:extLst>
                <a:ext uri="{FF2B5EF4-FFF2-40B4-BE49-F238E27FC236}">
                  <a16:creationId xmlns:a16="http://schemas.microsoft.com/office/drawing/2014/main" id="{B4FAD4DC-D251-4DC9-9951-9D08C7E6F96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745" y="718"/>
              <a:ext cx="1" cy="149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9" name="Line 588">
              <a:extLst>
                <a:ext uri="{FF2B5EF4-FFF2-40B4-BE49-F238E27FC236}">
                  <a16:creationId xmlns:a16="http://schemas.microsoft.com/office/drawing/2014/main" id="{D48C7E1F-3A80-4B59-B739-ACE8C0741AB9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751" y="718"/>
              <a:ext cx="1" cy="149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0" name="Line 589">
              <a:extLst>
                <a:ext uri="{FF2B5EF4-FFF2-40B4-BE49-F238E27FC236}">
                  <a16:creationId xmlns:a16="http://schemas.microsoft.com/office/drawing/2014/main" id="{EE80A28D-B6A4-43E3-91F9-EB31C5A9B7A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751" y="718"/>
              <a:ext cx="1" cy="1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1" name="Line 590">
              <a:extLst>
                <a:ext uri="{FF2B5EF4-FFF2-40B4-BE49-F238E27FC236}">
                  <a16:creationId xmlns:a16="http://schemas.microsoft.com/office/drawing/2014/main" id="{122EA609-0C3A-4DF5-8C7D-EBED266E4C2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751" y="854"/>
              <a:ext cx="124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2" name="Line 591">
              <a:extLst>
                <a:ext uri="{FF2B5EF4-FFF2-40B4-BE49-F238E27FC236}">
                  <a16:creationId xmlns:a16="http://schemas.microsoft.com/office/drawing/2014/main" id="{E6367861-0866-4361-95BC-84CCEF9997D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751" y="733"/>
              <a:ext cx="106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3" name="Line 592">
              <a:extLst>
                <a:ext uri="{FF2B5EF4-FFF2-40B4-BE49-F238E27FC236}">
                  <a16:creationId xmlns:a16="http://schemas.microsoft.com/office/drawing/2014/main" id="{981A249D-0492-4385-9673-7E440C371CD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208" y="73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4" name="Line 593">
              <a:extLst>
                <a:ext uri="{FF2B5EF4-FFF2-40B4-BE49-F238E27FC236}">
                  <a16:creationId xmlns:a16="http://schemas.microsoft.com/office/drawing/2014/main" id="{F0BB7CB1-5375-4CE2-B31A-7A0EB86B960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91" y="768"/>
              <a:ext cx="1" cy="247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5" name="Line 594">
              <a:extLst>
                <a:ext uri="{FF2B5EF4-FFF2-40B4-BE49-F238E27FC236}">
                  <a16:creationId xmlns:a16="http://schemas.microsoft.com/office/drawing/2014/main" id="{5572E204-0826-485D-A016-82590FAA9E3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857" y="73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6" name="Line 595">
              <a:extLst>
                <a:ext uri="{FF2B5EF4-FFF2-40B4-BE49-F238E27FC236}">
                  <a16:creationId xmlns:a16="http://schemas.microsoft.com/office/drawing/2014/main" id="{71711263-CB8F-4354-8A20-98557841C95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875" y="768"/>
              <a:ext cx="1" cy="247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7" name="Line 596">
              <a:extLst>
                <a:ext uri="{FF2B5EF4-FFF2-40B4-BE49-F238E27FC236}">
                  <a16:creationId xmlns:a16="http://schemas.microsoft.com/office/drawing/2014/main" id="{C0860EB3-6089-4216-9E69-5770F51683F6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733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8" name="Line 597">
              <a:extLst>
                <a:ext uri="{FF2B5EF4-FFF2-40B4-BE49-F238E27FC236}">
                  <a16:creationId xmlns:a16="http://schemas.microsoft.com/office/drawing/2014/main" id="{6CC757CA-D560-4443-B76A-E9E22518219D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768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9" name="Line 598">
              <a:extLst>
                <a:ext uri="{FF2B5EF4-FFF2-40B4-BE49-F238E27FC236}">
                  <a16:creationId xmlns:a16="http://schemas.microsoft.com/office/drawing/2014/main" id="{BD031D79-63DC-4CE7-A6F4-1B6FFC0CB7F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1015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60" name="Line 599">
              <a:extLst>
                <a:ext uri="{FF2B5EF4-FFF2-40B4-BE49-F238E27FC236}">
                  <a16:creationId xmlns:a16="http://schemas.microsoft.com/office/drawing/2014/main" id="{627B6A28-3920-479B-AAE1-EDA5545D915A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14" y="1396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61" name="Line 600">
              <a:extLst>
                <a:ext uri="{FF2B5EF4-FFF2-40B4-BE49-F238E27FC236}">
                  <a16:creationId xmlns:a16="http://schemas.microsoft.com/office/drawing/2014/main" id="{BD131ACC-3186-4CB1-951A-9E1D28C29918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050"/>
              <a:ext cx="100" cy="34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62" name="Line 601">
              <a:extLst>
                <a:ext uri="{FF2B5EF4-FFF2-40B4-BE49-F238E27FC236}">
                  <a16:creationId xmlns:a16="http://schemas.microsoft.com/office/drawing/2014/main" id="{1C8149C0-5388-4306-BC99-EA1B15BD02A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14" y="151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63" name="Line 602">
              <a:extLst>
                <a:ext uri="{FF2B5EF4-FFF2-40B4-BE49-F238E27FC236}">
                  <a16:creationId xmlns:a16="http://schemas.microsoft.com/office/drawing/2014/main" id="{B2A783EE-A4A1-461F-BD5C-517CD2F2A9FA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431"/>
              <a:ext cx="1" cy="8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64" name="Line 603">
              <a:extLst>
                <a:ext uri="{FF2B5EF4-FFF2-40B4-BE49-F238E27FC236}">
                  <a16:creationId xmlns:a16="http://schemas.microsoft.com/office/drawing/2014/main" id="{2A53B63B-3E0D-4BF0-90BC-832821A538E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51" y="1396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65" name="Line 604">
              <a:extLst>
                <a:ext uri="{FF2B5EF4-FFF2-40B4-BE49-F238E27FC236}">
                  <a16:creationId xmlns:a16="http://schemas.microsoft.com/office/drawing/2014/main" id="{3AD49718-C2D6-47E0-B788-118FFAD63343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75" y="1050"/>
              <a:ext cx="99" cy="34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66" name="Line 605">
              <a:extLst>
                <a:ext uri="{FF2B5EF4-FFF2-40B4-BE49-F238E27FC236}">
                  <a16:creationId xmlns:a16="http://schemas.microsoft.com/office/drawing/2014/main" id="{5882C369-3065-418F-801D-D332A547B469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51" y="151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67" name="Line 606">
              <a:extLst>
                <a:ext uri="{FF2B5EF4-FFF2-40B4-BE49-F238E27FC236}">
                  <a16:creationId xmlns:a16="http://schemas.microsoft.com/office/drawing/2014/main" id="{E60DF933-8253-45D3-9F6B-878E9F4A867D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74" y="1431"/>
              <a:ext cx="1" cy="8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68" name="Line 607">
              <a:extLst>
                <a:ext uri="{FF2B5EF4-FFF2-40B4-BE49-F238E27FC236}">
                  <a16:creationId xmlns:a16="http://schemas.microsoft.com/office/drawing/2014/main" id="{F3139FCD-DA2C-4163-9362-EE0F5F44B1F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1050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69" name="Line 608">
              <a:extLst>
                <a:ext uri="{FF2B5EF4-FFF2-40B4-BE49-F238E27FC236}">
                  <a16:creationId xmlns:a16="http://schemas.microsoft.com/office/drawing/2014/main" id="{A012917A-19B5-4881-891F-DC14C1E7971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396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70" name="Line 609">
              <a:extLst>
                <a:ext uri="{FF2B5EF4-FFF2-40B4-BE49-F238E27FC236}">
                  <a16:creationId xmlns:a16="http://schemas.microsoft.com/office/drawing/2014/main" id="{0493CCD7-299B-4664-98FE-6D9BA8C8A964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431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71" name="Line 610">
              <a:extLst>
                <a:ext uri="{FF2B5EF4-FFF2-40B4-BE49-F238E27FC236}">
                  <a16:creationId xmlns:a16="http://schemas.microsoft.com/office/drawing/2014/main" id="{6C67BBDE-5894-4EF9-84F8-2E09846872D6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513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72" name="Line 611">
              <a:extLst>
                <a:ext uri="{FF2B5EF4-FFF2-40B4-BE49-F238E27FC236}">
                  <a16:creationId xmlns:a16="http://schemas.microsoft.com/office/drawing/2014/main" id="{07D1B990-A245-44A8-BFDC-E6EC3D7AB816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548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73" name="Line 612">
              <a:extLst>
                <a:ext uri="{FF2B5EF4-FFF2-40B4-BE49-F238E27FC236}">
                  <a16:creationId xmlns:a16="http://schemas.microsoft.com/office/drawing/2014/main" id="{49F73853-B64E-40EC-8C4C-71BD75F858E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208" y="1015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74" name="Line 613">
              <a:extLst>
                <a:ext uri="{FF2B5EF4-FFF2-40B4-BE49-F238E27FC236}">
                  <a16:creationId xmlns:a16="http://schemas.microsoft.com/office/drawing/2014/main" id="{1F4E0737-CFB1-4F7E-854E-5554C0B7909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1015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79" name="Group 614">
            <a:extLst>
              <a:ext uri="{FF2B5EF4-FFF2-40B4-BE49-F238E27FC236}">
                <a16:creationId xmlns:a16="http://schemas.microsoft.com/office/drawing/2014/main" id="{991FEAEB-5446-4FA6-8345-45AA31FDA077}"/>
              </a:ext>
            </a:extLst>
          </xdr:cNvPr>
          <xdr:cNvGrpSpPr>
            <a:grpSpLocks noChangeAspect="1"/>
          </xdr:cNvGrpSpPr>
        </xdr:nvGrpSpPr>
        <xdr:grpSpPr bwMode="auto">
          <a:xfrm>
            <a:off x="563" y="127"/>
            <a:ext cx="21" cy="67"/>
            <a:chOff x="3745" y="625"/>
            <a:chExt cx="464" cy="987"/>
          </a:xfrm>
        </xdr:grpSpPr>
        <xdr:sp macro="" textlink="">
          <xdr:nvSpPr>
            <xdr:cNvPr id="107" name="Line 615">
              <a:extLst>
                <a:ext uri="{FF2B5EF4-FFF2-40B4-BE49-F238E27FC236}">
                  <a16:creationId xmlns:a16="http://schemas.microsoft.com/office/drawing/2014/main" id="{79F6AD6C-BB16-4828-A2E0-03527658E638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974" y="1611"/>
              <a:ext cx="117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08" name="Line 616">
              <a:extLst>
                <a:ext uri="{FF2B5EF4-FFF2-40B4-BE49-F238E27FC236}">
                  <a16:creationId xmlns:a16="http://schemas.microsoft.com/office/drawing/2014/main" id="{EDA717AD-E721-4B43-AD96-93EBB384A43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74" y="1548"/>
              <a:ext cx="1" cy="63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09" name="Line 617">
              <a:extLst>
                <a:ext uri="{FF2B5EF4-FFF2-40B4-BE49-F238E27FC236}">
                  <a16:creationId xmlns:a16="http://schemas.microsoft.com/office/drawing/2014/main" id="{E05796C8-7C44-4517-B2FB-2E5BC251C414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548"/>
              <a:ext cx="1" cy="63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10" name="Line 618">
              <a:extLst>
                <a:ext uri="{FF2B5EF4-FFF2-40B4-BE49-F238E27FC236}">
                  <a16:creationId xmlns:a16="http://schemas.microsoft.com/office/drawing/2014/main" id="{538093B3-2EC6-44B6-B171-6097DEA664CA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032" y="625"/>
              <a:ext cx="98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11" name="Line 619">
              <a:extLst>
                <a:ext uri="{FF2B5EF4-FFF2-40B4-BE49-F238E27FC236}">
                  <a16:creationId xmlns:a16="http://schemas.microsoft.com/office/drawing/2014/main" id="{2101EABE-D365-4625-9D1D-9E402DEA80E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130" y="625"/>
              <a:ext cx="1" cy="10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12" name="Line 620">
              <a:extLst>
                <a:ext uri="{FF2B5EF4-FFF2-40B4-BE49-F238E27FC236}">
                  <a16:creationId xmlns:a16="http://schemas.microsoft.com/office/drawing/2014/main" id="{A1251AAD-3778-4C08-B1D8-F08EAD5F67CF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35" y="625"/>
              <a:ext cx="1" cy="10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13" name="Line 621">
              <a:extLst>
                <a:ext uri="{FF2B5EF4-FFF2-40B4-BE49-F238E27FC236}">
                  <a16:creationId xmlns:a16="http://schemas.microsoft.com/office/drawing/2014/main" id="{B4B3C06F-0C00-43BE-9C01-16BE322A3A0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935" y="625"/>
              <a:ext cx="97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14" name="Line 622">
              <a:extLst>
                <a:ext uri="{FF2B5EF4-FFF2-40B4-BE49-F238E27FC236}">
                  <a16:creationId xmlns:a16="http://schemas.microsoft.com/office/drawing/2014/main" id="{3129AE13-E949-460B-8783-E3B7A544BEB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745" y="718"/>
              <a:ext cx="1" cy="149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15" name="Line 623">
              <a:extLst>
                <a:ext uri="{FF2B5EF4-FFF2-40B4-BE49-F238E27FC236}">
                  <a16:creationId xmlns:a16="http://schemas.microsoft.com/office/drawing/2014/main" id="{8F679845-F014-4C29-9343-5DA2913EE7E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751" y="718"/>
              <a:ext cx="1" cy="149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16" name="Line 624">
              <a:extLst>
                <a:ext uri="{FF2B5EF4-FFF2-40B4-BE49-F238E27FC236}">
                  <a16:creationId xmlns:a16="http://schemas.microsoft.com/office/drawing/2014/main" id="{16B87237-8EB7-4FFE-BDD1-6E457F7475E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751" y="718"/>
              <a:ext cx="1" cy="1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17" name="Line 625">
              <a:extLst>
                <a:ext uri="{FF2B5EF4-FFF2-40B4-BE49-F238E27FC236}">
                  <a16:creationId xmlns:a16="http://schemas.microsoft.com/office/drawing/2014/main" id="{EF18E388-7109-40E3-8648-4959A6AE8A74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751" y="854"/>
              <a:ext cx="124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18" name="Line 626">
              <a:extLst>
                <a:ext uri="{FF2B5EF4-FFF2-40B4-BE49-F238E27FC236}">
                  <a16:creationId xmlns:a16="http://schemas.microsoft.com/office/drawing/2014/main" id="{1E441920-3546-49B6-9DE9-ED2424F44A3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751" y="733"/>
              <a:ext cx="106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19" name="Line 627">
              <a:extLst>
                <a:ext uri="{FF2B5EF4-FFF2-40B4-BE49-F238E27FC236}">
                  <a16:creationId xmlns:a16="http://schemas.microsoft.com/office/drawing/2014/main" id="{2DA26397-7301-4C98-8035-B819E54BB14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208" y="73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0" name="Line 628">
              <a:extLst>
                <a:ext uri="{FF2B5EF4-FFF2-40B4-BE49-F238E27FC236}">
                  <a16:creationId xmlns:a16="http://schemas.microsoft.com/office/drawing/2014/main" id="{D9E33FF4-DA09-4BA4-9EB0-58C428C8F8AB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91" y="768"/>
              <a:ext cx="1" cy="247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1" name="Line 629">
              <a:extLst>
                <a:ext uri="{FF2B5EF4-FFF2-40B4-BE49-F238E27FC236}">
                  <a16:creationId xmlns:a16="http://schemas.microsoft.com/office/drawing/2014/main" id="{81DC0567-636D-4CFC-A8CC-1602FEDC97D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857" y="73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2" name="Line 630">
              <a:extLst>
                <a:ext uri="{FF2B5EF4-FFF2-40B4-BE49-F238E27FC236}">
                  <a16:creationId xmlns:a16="http://schemas.microsoft.com/office/drawing/2014/main" id="{50D08B5B-3257-4ED2-AE7F-77816BB37AE6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875" y="768"/>
              <a:ext cx="1" cy="247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3" name="Line 631">
              <a:extLst>
                <a:ext uri="{FF2B5EF4-FFF2-40B4-BE49-F238E27FC236}">
                  <a16:creationId xmlns:a16="http://schemas.microsoft.com/office/drawing/2014/main" id="{6F7B80D3-B624-4438-918F-8E0F795996FA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733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4" name="Line 632">
              <a:extLst>
                <a:ext uri="{FF2B5EF4-FFF2-40B4-BE49-F238E27FC236}">
                  <a16:creationId xmlns:a16="http://schemas.microsoft.com/office/drawing/2014/main" id="{89E42A80-05FB-4FF1-AC3A-006616EA448D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768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5" name="Line 633">
              <a:extLst>
                <a:ext uri="{FF2B5EF4-FFF2-40B4-BE49-F238E27FC236}">
                  <a16:creationId xmlns:a16="http://schemas.microsoft.com/office/drawing/2014/main" id="{E85B00CC-093D-4D90-A25A-96017667A497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1015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6" name="Line 634">
              <a:extLst>
                <a:ext uri="{FF2B5EF4-FFF2-40B4-BE49-F238E27FC236}">
                  <a16:creationId xmlns:a16="http://schemas.microsoft.com/office/drawing/2014/main" id="{6BE6D715-61CA-40E4-83AD-0FE99ECBB5DD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14" y="1396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7" name="Line 635">
              <a:extLst>
                <a:ext uri="{FF2B5EF4-FFF2-40B4-BE49-F238E27FC236}">
                  <a16:creationId xmlns:a16="http://schemas.microsoft.com/office/drawing/2014/main" id="{A4CC03CF-DBAE-4F40-B06D-71226A5C5A3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050"/>
              <a:ext cx="100" cy="34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8" name="Line 636">
              <a:extLst>
                <a:ext uri="{FF2B5EF4-FFF2-40B4-BE49-F238E27FC236}">
                  <a16:creationId xmlns:a16="http://schemas.microsoft.com/office/drawing/2014/main" id="{94F80B93-C074-4365-B763-E66E64E9052B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14" y="151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9" name="Line 637">
              <a:extLst>
                <a:ext uri="{FF2B5EF4-FFF2-40B4-BE49-F238E27FC236}">
                  <a16:creationId xmlns:a16="http://schemas.microsoft.com/office/drawing/2014/main" id="{FCFA0EC7-7E26-4D75-AB38-D896FE4A0FD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431"/>
              <a:ext cx="1" cy="8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0" name="Line 638">
              <a:extLst>
                <a:ext uri="{FF2B5EF4-FFF2-40B4-BE49-F238E27FC236}">
                  <a16:creationId xmlns:a16="http://schemas.microsoft.com/office/drawing/2014/main" id="{685CA96D-34D7-4ACC-84B1-A29985D26CE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51" y="1396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1" name="Line 639">
              <a:extLst>
                <a:ext uri="{FF2B5EF4-FFF2-40B4-BE49-F238E27FC236}">
                  <a16:creationId xmlns:a16="http://schemas.microsoft.com/office/drawing/2014/main" id="{422EA429-AAA8-493B-8F4F-D757A4ABFE9F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75" y="1050"/>
              <a:ext cx="99" cy="34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2" name="Line 640">
              <a:extLst>
                <a:ext uri="{FF2B5EF4-FFF2-40B4-BE49-F238E27FC236}">
                  <a16:creationId xmlns:a16="http://schemas.microsoft.com/office/drawing/2014/main" id="{0825C80A-1F12-4B70-8ABE-867B389E96D8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51" y="151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3" name="Line 641">
              <a:extLst>
                <a:ext uri="{FF2B5EF4-FFF2-40B4-BE49-F238E27FC236}">
                  <a16:creationId xmlns:a16="http://schemas.microsoft.com/office/drawing/2014/main" id="{9ABDE0DB-EBF9-44CC-AC63-2C95DC985D4F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74" y="1431"/>
              <a:ext cx="1" cy="8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4" name="Line 642">
              <a:extLst>
                <a:ext uri="{FF2B5EF4-FFF2-40B4-BE49-F238E27FC236}">
                  <a16:creationId xmlns:a16="http://schemas.microsoft.com/office/drawing/2014/main" id="{516D168C-32B5-42BC-BE3F-3E9BDA060A6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857" y="1050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5" name="Line 643">
              <a:extLst>
                <a:ext uri="{FF2B5EF4-FFF2-40B4-BE49-F238E27FC236}">
                  <a16:creationId xmlns:a16="http://schemas.microsoft.com/office/drawing/2014/main" id="{D98C3F93-DC8E-4D13-ABE3-15EB8D67FE8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396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6" name="Line 644">
              <a:extLst>
                <a:ext uri="{FF2B5EF4-FFF2-40B4-BE49-F238E27FC236}">
                  <a16:creationId xmlns:a16="http://schemas.microsoft.com/office/drawing/2014/main" id="{1BFDDB0F-CE60-4C1B-BC46-8C4C43198BF6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431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7" name="Line 645">
              <a:extLst>
                <a:ext uri="{FF2B5EF4-FFF2-40B4-BE49-F238E27FC236}">
                  <a16:creationId xmlns:a16="http://schemas.microsoft.com/office/drawing/2014/main" id="{BD5349C8-929B-4CE0-83A3-6935F11395D8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513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8" name="Line 646">
              <a:extLst>
                <a:ext uri="{FF2B5EF4-FFF2-40B4-BE49-F238E27FC236}">
                  <a16:creationId xmlns:a16="http://schemas.microsoft.com/office/drawing/2014/main" id="{70634F66-6B3C-498D-86A3-5D4958C4A976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548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9" name="Line 647">
              <a:extLst>
                <a:ext uri="{FF2B5EF4-FFF2-40B4-BE49-F238E27FC236}">
                  <a16:creationId xmlns:a16="http://schemas.microsoft.com/office/drawing/2014/main" id="{CAFB6026-B9AA-4F78-8EFE-A7B397E144D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208" y="1015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40" name="Line 648">
              <a:extLst>
                <a:ext uri="{FF2B5EF4-FFF2-40B4-BE49-F238E27FC236}">
                  <a16:creationId xmlns:a16="http://schemas.microsoft.com/office/drawing/2014/main" id="{4837F0D7-C35A-4BE2-9BD3-FD0DEEE9532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1015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80" name="Group 649">
            <a:extLst>
              <a:ext uri="{FF2B5EF4-FFF2-40B4-BE49-F238E27FC236}">
                <a16:creationId xmlns:a16="http://schemas.microsoft.com/office/drawing/2014/main" id="{C14720A3-D619-4A0A-8ADE-6BE21A2CA6CB}"/>
              </a:ext>
            </a:extLst>
          </xdr:cNvPr>
          <xdr:cNvGrpSpPr>
            <a:grpSpLocks/>
          </xdr:cNvGrpSpPr>
        </xdr:nvGrpSpPr>
        <xdr:grpSpPr bwMode="auto">
          <a:xfrm flipH="1">
            <a:off x="551" y="121"/>
            <a:ext cx="8" cy="22"/>
            <a:chOff x="720" y="188"/>
            <a:chExt cx="8" cy="22"/>
          </a:xfrm>
        </xdr:grpSpPr>
        <xdr:sp macro="" textlink="">
          <xdr:nvSpPr>
            <xdr:cNvPr id="103" name="Line 650">
              <a:extLst>
                <a:ext uri="{FF2B5EF4-FFF2-40B4-BE49-F238E27FC236}">
                  <a16:creationId xmlns:a16="http://schemas.microsoft.com/office/drawing/2014/main" id="{EDBBDE26-6C10-4B9D-A332-DE5D0D959B9F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726" y="202"/>
              <a:ext cx="0" cy="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04" name="Line 651">
              <a:extLst>
                <a:ext uri="{FF2B5EF4-FFF2-40B4-BE49-F238E27FC236}">
                  <a16:creationId xmlns:a16="http://schemas.microsoft.com/office/drawing/2014/main" id="{551BF668-FE74-4DC8-A55D-8ED647358589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722" y="202"/>
              <a:ext cx="0" cy="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05" name="Line 652">
              <a:extLst>
                <a:ext uri="{FF2B5EF4-FFF2-40B4-BE49-F238E27FC236}">
                  <a16:creationId xmlns:a16="http://schemas.microsoft.com/office/drawing/2014/main" id="{F84F13DF-00EF-46CA-B8B1-F010C99E152A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4" y="188"/>
              <a:ext cx="0" cy="2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06" name="Line 653">
              <a:extLst>
                <a:ext uri="{FF2B5EF4-FFF2-40B4-BE49-F238E27FC236}">
                  <a16:creationId xmlns:a16="http://schemas.microsoft.com/office/drawing/2014/main" id="{EF490453-4D6A-4388-A7DF-261622FE914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0" y="188"/>
              <a:ext cx="8" cy="0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81" name="Group 654">
            <a:extLst>
              <a:ext uri="{FF2B5EF4-FFF2-40B4-BE49-F238E27FC236}">
                <a16:creationId xmlns:a16="http://schemas.microsoft.com/office/drawing/2014/main" id="{20BE10C9-324C-48B3-B056-3D01F17B8FE8}"/>
              </a:ext>
            </a:extLst>
          </xdr:cNvPr>
          <xdr:cNvGrpSpPr>
            <a:grpSpLocks/>
          </xdr:cNvGrpSpPr>
        </xdr:nvGrpSpPr>
        <xdr:grpSpPr bwMode="auto">
          <a:xfrm flipH="1">
            <a:off x="520" y="121"/>
            <a:ext cx="8" cy="22"/>
            <a:chOff x="751" y="188"/>
            <a:chExt cx="8" cy="22"/>
          </a:xfrm>
        </xdr:grpSpPr>
        <xdr:sp macro="" textlink="">
          <xdr:nvSpPr>
            <xdr:cNvPr id="99" name="Line 655">
              <a:extLst>
                <a:ext uri="{FF2B5EF4-FFF2-40B4-BE49-F238E27FC236}">
                  <a16:creationId xmlns:a16="http://schemas.microsoft.com/office/drawing/2014/main" id="{39B79644-3480-4828-88C6-17A7AA69219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3" y="202"/>
              <a:ext cx="0" cy="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00" name="Line 656">
              <a:extLst>
                <a:ext uri="{FF2B5EF4-FFF2-40B4-BE49-F238E27FC236}">
                  <a16:creationId xmlns:a16="http://schemas.microsoft.com/office/drawing/2014/main" id="{99E0C89E-EE61-4F3C-9D1A-1EDCF267BAC7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7" y="202"/>
              <a:ext cx="0" cy="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01" name="Line 657">
              <a:extLst>
                <a:ext uri="{FF2B5EF4-FFF2-40B4-BE49-F238E27FC236}">
                  <a16:creationId xmlns:a16="http://schemas.microsoft.com/office/drawing/2014/main" id="{F78E7651-A696-48D0-9B9E-3E1D9030FAC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5" y="188"/>
              <a:ext cx="0" cy="2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02" name="Line 658">
              <a:extLst>
                <a:ext uri="{FF2B5EF4-FFF2-40B4-BE49-F238E27FC236}">
                  <a16:creationId xmlns:a16="http://schemas.microsoft.com/office/drawing/2014/main" id="{70DD6215-CBD2-4215-9151-78E5546E8DF1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1" y="188"/>
              <a:ext cx="8" cy="0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82" name="Group 659">
            <a:extLst>
              <a:ext uri="{FF2B5EF4-FFF2-40B4-BE49-F238E27FC236}">
                <a16:creationId xmlns:a16="http://schemas.microsoft.com/office/drawing/2014/main" id="{4549056D-F40A-4F55-A5A2-E7E74555A775}"/>
              </a:ext>
            </a:extLst>
          </xdr:cNvPr>
          <xdr:cNvGrpSpPr>
            <a:grpSpLocks/>
          </xdr:cNvGrpSpPr>
        </xdr:nvGrpSpPr>
        <xdr:grpSpPr bwMode="auto">
          <a:xfrm flipH="1">
            <a:off x="469" y="191"/>
            <a:ext cx="162" cy="34"/>
            <a:chOff x="463" y="137"/>
            <a:chExt cx="113" cy="34"/>
          </a:xfrm>
        </xdr:grpSpPr>
        <xdr:sp macro="" textlink="">
          <xdr:nvSpPr>
            <xdr:cNvPr id="94" name="Freeform 660">
              <a:extLst>
                <a:ext uri="{FF2B5EF4-FFF2-40B4-BE49-F238E27FC236}">
                  <a16:creationId xmlns:a16="http://schemas.microsoft.com/office/drawing/2014/main" id="{4158D11F-16D7-4ADF-9D0F-05D8C6D3D486}"/>
                </a:ext>
              </a:extLst>
            </xdr:cNvPr>
            <xdr:cNvSpPr>
              <a:spLocks/>
            </xdr:cNvSpPr>
          </xdr:nvSpPr>
          <xdr:spPr bwMode="auto">
            <a:xfrm flipH="1">
              <a:off x="463" y="137"/>
              <a:ext cx="105" cy="34"/>
            </a:xfrm>
            <a:custGeom>
              <a:avLst/>
              <a:gdLst>
                <a:gd name="T0" fmla="*/ 3 w 125"/>
                <a:gd name="T1" fmla="*/ 0 h 31"/>
                <a:gd name="T2" fmla="*/ 3 w 125"/>
                <a:gd name="T3" fmla="*/ 165 h 31"/>
                <a:gd name="T4" fmla="*/ 3 w 125"/>
                <a:gd name="T5" fmla="*/ 236 h 31"/>
                <a:gd name="T6" fmla="*/ 0 w 125"/>
                <a:gd name="T7" fmla="*/ 236 h 31"/>
                <a:gd name="T8" fmla="*/ 0 w 125"/>
                <a:gd name="T9" fmla="*/ 0 h 31"/>
                <a:gd name="T10" fmla="*/ 0 60000 65536"/>
                <a:gd name="T11" fmla="*/ 0 60000 65536"/>
                <a:gd name="T12" fmla="*/ 0 60000 65536"/>
                <a:gd name="T13" fmla="*/ 0 60000 65536"/>
                <a:gd name="T14" fmla="*/ 0 60000 65536"/>
                <a:gd name="T15" fmla="*/ 0 w 125"/>
                <a:gd name="T16" fmla="*/ 0 h 31"/>
                <a:gd name="T17" fmla="*/ 125 w 125"/>
                <a:gd name="T18" fmla="*/ 31 h 31"/>
              </a:gdLst>
              <a:ahLst/>
              <a:cxnLst>
                <a:cxn ang="T10">
                  <a:pos x="T0" y="T1"/>
                </a:cxn>
                <a:cxn ang="T11">
                  <a:pos x="T2" y="T3"/>
                </a:cxn>
                <a:cxn ang="T12">
                  <a:pos x="T4" y="T5"/>
                </a:cxn>
                <a:cxn ang="T13">
                  <a:pos x="T6" y="T7"/>
                </a:cxn>
                <a:cxn ang="T14">
                  <a:pos x="T8" y="T9"/>
                </a:cxn>
              </a:cxnLst>
              <a:rect l="T15" t="T16" r="T17" b="T18"/>
              <a:pathLst>
                <a:path w="125" h="31">
                  <a:moveTo>
                    <a:pt x="125" y="0"/>
                  </a:moveTo>
                  <a:lnTo>
                    <a:pt x="125" y="22"/>
                  </a:lnTo>
                  <a:lnTo>
                    <a:pt x="10" y="31"/>
                  </a:lnTo>
                  <a:lnTo>
                    <a:pt x="0" y="31"/>
                  </a:lnTo>
                  <a:lnTo>
                    <a:pt x="0" y="0"/>
                  </a:lnTo>
                </a:path>
              </a:pathLst>
            </a:custGeom>
            <a:noFill/>
            <a:ln w="12700" cap="flat" cmpd="sng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grpSp>
          <xdr:nvGrpSpPr>
            <xdr:cNvPr id="95" name="Group 661">
              <a:extLst>
                <a:ext uri="{FF2B5EF4-FFF2-40B4-BE49-F238E27FC236}">
                  <a16:creationId xmlns:a16="http://schemas.microsoft.com/office/drawing/2014/main" id="{18EA3966-E41E-49B0-BCB1-61E4029E748A}"/>
                </a:ext>
              </a:extLst>
            </xdr:cNvPr>
            <xdr:cNvGrpSpPr>
              <a:grpSpLocks/>
            </xdr:cNvGrpSpPr>
          </xdr:nvGrpSpPr>
          <xdr:grpSpPr bwMode="auto">
            <a:xfrm flipH="1">
              <a:off x="568" y="162"/>
              <a:ext cx="8" cy="8"/>
              <a:chOff x="1486" y="409"/>
              <a:chExt cx="9" cy="8"/>
            </a:xfrm>
          </xdr:grpSpPr>
          <xdr:sp macro="" textlink="">
            <xdr:nvSpPr>
              <xdr:cNvPr id="96" name="Line 662">
                <a:extLst>
                  <a:ext uri="{FF2B5EF4-FFF2-40B4-BE49-F238E27FC236}">
                    <a16:creationId xmlns:a16="http://schemas.microsoft.com/office/drawing/2014/main" id="{0E3CE237-D2D8-499C-8076-7D0BB8EE7F01}"/>
                  </a:ext>
                </a:extLst>
              </xdr:cNvPr>
              <xdr:cNvSpPr>
                <a:spLocks noChangeShapeType="1"/>
              </xdr:cNvSpPr>
            </xdr:nvSpPr>
            <xdr:spPr bwMode="auto">
              <a:xfrm flipH="1">
                <a:off x="1488" y="413"/>
                <a:ext cx="7" cy="0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97" name="Line 663">
                <a:extLst>
                  <a:ext uri="{FF2B5EF4-FFF2-40B4-BE49-F238E27FC236}">
                    <a16:creationId xmlns:a16="http://schemas.microsoft.com/office/drawing/2014/main" id="{556D3BDA-3735-42F8-9B24-350B02180396}"/>
                  </a:ext>
                </a:extLst>
              </xdr:cNvPr>
              <xdr:cNvSpPr>
                <a:spLocks noChangeShapeType="1"/>
              </xdr:cNvSpPr>
            </xdr:nvSpPr>
            <xdr:spPr bwMode="auto">
              <a:xfrm>
                <a:off x="1488" y="409"/>
                <a:ext cx="0" cy="8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98" name="Line 664">
                <a:extLst>
                  <a:ext uri="{FF2B5EF4-FFF2-40B4-BE49-F238E27FC236}">
                    <a16:creationId xmlns:a16="http://schemas.microsoft.com/office/drawing/2014/main" id="{6DB7A5F8-1C6A-46BD-9FE4-6BFB99CFCB71}"/>
                  </a:ext>
                </a:extLst>
              </xdr:cNvPr>
              <xdr:cNvSpPr>
                <a:spLocks noChangeShapeType="1"/>
              </xdr:cNvSpPr>
            </xdr:nvSpPr>
            <xdr:spPr bwMode="auto">
              <a:xfrm>
                <a:off x="1486" y="409"/>
                <a:ext cx="0" cy="8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</xdr:grpSp>
      </xdr:grpSp>
      <xdr:grpSp>
        <xdr:nvGrpSpPr>
          <xdr:cNvPr id="83" name="Group 665">
            <a:extLst>
              <a:ext uri="{FF2B5EF4-FFF2-40B4-BE49-F238E27FC236}">
                <a16:creationId xmlns:a16="http://schemas.microsoft.com/office/drawing/2014/main" id="{E8908B36-085F-4BA7-87A9-438F85DE1A80}"/>
              </a:ext>
            </a:extLst>
          </xdr:cNvPr>
          <xdr:cNvGrpSpPr>
            <a:grpSpLocks/>
          </xdr:cNvGrpSpPr>
        </xdr:nvGrpSpPr>
        <xdr:grpSpPr bwMode="auto">
          <a:xfrm flipH="1">
            <a:off x="466" y="125"/>
            <a:ext cx="153" cy="47"/>
            <a:chOff x="639" y="226"/>
            <a:chExt cx="146" cy="47"/>
          </a:xfrm>
        </xdr:grpSpPr>
        <xdr:grpSp>
          <xdr:nvGrpSpPr>
            <xdr:cNvPr id="89" name="Group 666">
              <a:extLst>
                <a:ext uri="{FF2B5EF4-FFF2-40B4-BE49-F238E27FC236}">
                  <a16:creationId xmlns:a16="http://schemas.microsoft.com/office/drawing/2014/main" id="{72E6FEBE-CFBF-48D9-8051-E14BB796DB1D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639" y="265"/>
              <a:ext cx="8" cy="8"/>
              <a:chOff x="1486" y="409"/>
              <a:chExt cx="9" cy="8"/>
            </a:xfrm>
          </xdr:grpSpPr>
          <xdr:sp macro="" textlink="">
            <xdr:nvSpPr>
              <xdr:cNvPr id="91" name="Line 667">
                <a:extLst>
                  <a:ext uri="{FF2B5EF4-FFF2-40B4-BE49-F238E27FC236}">
                    <a16:creationId xmlns:a16="http://schemas.microsoft.com/office/drawing/2014/main" id="{8E3D0152-6426-435A-8815-5E1E8DD8ADC4}"/>
                  </a:ext>
                </a:extLst>
              </xdr:cNvPr>
              <xdr:cNvSpPr>
                <a:spLocks noChangeShapeType="1"/>
              </xdr:cNvSpPr>
            </xdr:nvSpPr>
            <xdr:spPr bwMode="auto">
              <a:xfrm flipH="1">
                <a:off x="1488" y="413"/>
                <a:ext cx="7" cy="0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92" name="Line 668">
                <a:extLst>
                  <a:ext uri="{FF2B5EF4-FFF2-40B4-BE49-F238E27FC236}">
                    <a16:creationId xmlns:a16="http://schemas.microsoft.com/office/drawing/2014/main" id="{0C530D7A-0ADC-4BFA-91FE-62981BB97152}"/>
                  </a:ext>
                </a:extLst>
              </xdr:cNvPr>
              <xdr:cNvSpPr>
                <a:spLocks noChangeShapeType="1"/>
              </xdr:cNvSpPr>
            </xdr:nvSpPr>
            <xdr:spPr bwMode="auto">
              <a:xfrm>
                <a:off x="1488" y="409"/>
                <a:ext cx="0" cy="8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93" name="Line 669">
                <a:extLst>
                  <a:ext uri="{FF2B5EF4-FFF2-40B4-BE49-F238E27FC236}">
                    <a16:creationId xmlns:a16="http://schemas.microsoft.com/office/drawing/2014/main" id="{52843B21-C831-47BF-86F0-0D267FCF0590}"/>
                  </a:ext>
                </a:extLst>
              </xdr:cNvPr>
              <xdr:cNvSpPr>
                <a:spLocks noChangeShapeType="1"/>
              </xdr:cNvSpPr>
            </xdr:nvSpPr>
            <xdr:spPr bwMode="auto">
              <a:xfrm>
                <a:off x="1486" y="409"/>
                <a:ext cx="0" cy="8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</xdr:grpSp>
        <xdr:sp macro="" textlink="">
          <xdr:nvSpPr>
            <xdr:cNvPr id="90" name="Freeform 670">
              <a:extLst>
                <a:ext uri="{FF2B5EF4-FFF2-40B4-BE49-F238E27FC236}">
                  <a16:creationId xmlns:a16="http://schemas.microsoft.com/office/drawing/2014/main" id="{64F7AC71-DDC8-43CD-91DD-A6BF3AAD610F}"/>
                </a:ext>
              </a:extLst>
            </xdr:cNvPr>
            <xdr:cNvSpPr>
              <a:spLocks/>
            </xdr:cNvSpPr>
          </xdr:nvSpPr>
          <xdr:spPr bwMode="auto">
            <a:xfrm flipH="1">
              <a:off x="648" y="226"/>
              <a:ext cx="137" cy="45"/>
            </a:xfrm>
            <a:custGeom>
              <a:avLst/>
              <a:gdLst>
                <a:gd name="T0" fmla="*/ 0 w 155"/>
                <a:gd name="T1" fmla="*/ 0 h 45"/>
                <a:gd name="T2" fmla="*/ 0 w 155"/>
                <a:gd name="T3" fmla="*/ 26 h 45"/>
                <a:gd name="T4" fmla="*/ 10 w 155"/>
                <a:gd name="T5" fmla="*/ 45 h 45"/>
                <a:gd name="T6" fmla="*/ 10 w 155"/>
                <a:gd name="T7" fmla="*/ 45 h 45"/>
                <a:gd name="T8" fmla="*/ 10 w 155"/>
                <a:gd name="T9" fmla="*/ 0 h 45"/>
                <a:gd name="T10" fmla="*/ 0 60000 65536"/>
                <a:gd name="T11" fmla="*/ 0 60000 65536"/>
                <a:gd name="T12" fmla="*/ 0 60000 65536"/>
                <a:gd name="T13" fmla="*/ 0 60000 65536"/>
                <a:gd name="T14" fmla="*/ 0 60000 65536"/>
                <a:gd name="T15" fmla="*/ 0 w 155"/>
                <a:gd name="T16" fmla="*/ 0 h 45"/>
                <a:gd name="T17" fmla="*/ 155 w 155"/>
                <a:gd name="T18" fmla="*/ 45 h 45"/>
              </a:gdLst>
              <a:ahLst/>
              <a:cxnLst>
                <a:cxn ang="T10">
                  <a:pos x="T0" y="T1"/>
                </a:cxn>
                <a:cxn ang="T11">
                  <a:pos x="T2" y="T3"/>
                </a:cxn>
                <a:cxn ang="T12">
                  <a:pos x="T4" y="T5"/>
                </a:cxn>
                <a:cxn ang="T13">
                  <a:pos x="T6" y="T7"/>
                </a:cxn>
                <a:cxn ang="T14">
                  <a:pos x="T8" y="T9"/>
                </a:cxn>
              </a:cxnLst>
              <a:rect l="T15" t="T16" r="T17" b="T18"/>
              <a:pathLst>
                <a:path w="155" h="45">
                  <a:moveTo>
                    <a:pt x="0" y="0"/>
                  </a:moveTo>
                  <a:lnTo>
                    <a:pt x="0" y="26"/>
                  </a:lnTo>
                  <a:lnTo>
                    <a:pt x="145" y="45"/>
                  </a:lnTo>
                  <a:lnTo>
                    <a:pt x="155" y="45"/>
                  </a:lnTo>
                  <a:lnTo>
                    <a:pt x="155" y="0"/>
                  </a:lnTo>
                </a:path>
              </a:pathLst>
            </a:custGeom>
            <a:noFill/>
            <a:ln w="12700" cap="flat" cmpd="sng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</xdr:grpSp>
      <xdr:sp macro="" textlink="">
        <xdr:nvSpPr>
          <xdr:cNvPr id="84" name="Freeform 671">
            <a:extLst>
              <a:ext uri="{FF2B5EF4-FFF2-40B4-BE49-F238E27FC236}">
                <a16:creationId xmlns:a16="http://schemas.microsoft.com/office/drawing/2014/main" id="{D3A668A8-05E3-4A57-9925-F14BB72F5D68}"/>
              </a:ext>
            </a:extLst>
          </xdr:cNvPr>
          <xdr:cNvSpPr>
            <a:spLocks/>
          </xdr:cNvSpPr>
        </xdr:nvSpPr>
        <xdr:spPr bwMode="auto">
          <a:xfrm flipH="1">
            <a:off x="483" y="113"/>
            <a:ext cx="19" cy="31"/>
          </a:xfrm>
          <a:custGeom>
            <a:avLst/>
            <a:gdLst>
              <a:gd name="T0" fmla="*/ 0 w 26"/>
              <a:gd name="T1" fmla="*/ 14 h 31"/>
              <a:gd name="T2" fmla="*/ 0 w 26"/>
              <a:gd name="T3" fmla="*/ 5 h 31"/>
              <a:gd name="T4" fmla="*/ 1 w 26"/>
              <a:gd name="T5" fmla="*/ 1 h 31"/>
              <a:gd name="T6" fmla="*/ 1 w 26"/>
              <a:gd name="T7" fmla="*/ 0 h 31"/>
              <a:gd name="T8" fmla="*/ 1 w 26"/>
              <a:gd name="T9" fmla="*/ 0 h 31"/>
              <a:gd name="T10" fmla="*/ 1 w 26"/>
              <a:gd name="T11" fmla="*/ 2 h 31"/>
              <a:gd name="T12" fmla="*/ 1 w 26"/>
              <a:gd name="T13" fmla="*/ 7 h 31"/>
              <a:gd name="T14" fmla="*/ 1 w 26"/>
              <a:gd name="T15" fmla="*/ 31 h 31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w 26"/>
              <a:gd name="T25" fmla="*/ 0 h 31"/>
              <a:gd name="T26" fmla="*/ 26 w 26"/>
              <a:gd name="T27" fmla="*/ 31 h 31"/>
            </a:gdLst>
            <a:ahLst/>
            <a:cxnLst>
              <a:cxn ang="T16">
                <a:pos x="T0" y="T1"/>
              </a:cxn>
              <a:cxn ang="T17">
                <a:pos x="T2" y="T3"/>
              </a:cxn>
              <a:cxn ang="T18">
                <a:pos x="T4" y="T5"/>
              </a:cxn>
              <a:cxn ang="T19">
                <a:pos x="T6" y="T7"/>
              </a:cxn>
              <a:cxn ang="T20">
                <a:pos x="T8" y="T9"/>
              </a:cxn>
              <a:cxn ang="T21">
                <a:pos x="T10" y="T11"/>
              </a:cxn>
              <a:cxn ang="T22">
                <a:pos x="T12" y="T13"/>
              </a:cxn>
              <a:cxn ang="T23">
                <a:pos x="T14" y="T15"/>
              </a:cxn>
            </a:cxnLst>
            <a:rect l="T24" t="T25" r="T26" b="T27"/>
            <a:pathLst>
              <a:path w="26" h="31">
                <a:moveTo>
                  <a:pt x="0" y="14"/>
                </a:moveTo>
                <a:lnTo>
                  <a:pt x="0" y="5"/>
                </a:lnTo>
                <a:lnTo>
                  <a:pt x="2" y="1"/>
                </a:lnTo>
                <a:lnTo>
                  <a:pt x="6" y="0"/>
                </a:lnTo>
                <a:lnTo>
                  <a:pt x="21" y="0"/>
                </a:lnTo>
                <a:lnTo>
                  <a:pt x="25" y="2"/>
                </a:lnTo>
                <a:lnTo>
                  <a:pt x="26" y="7"/>
                </a:lnTo>
                <a:lnTo>
                  <a:pt x="26" y="31"/>
                </a:lnTo>
              </a:path>
            </a:pathLst>
          </a:custGeom>
          <a:noFill/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85" name="Freeform 672">
            <a:extLst>
              <a:ext uri="{FF2B5EF4-FFF2-40B4-BE49-F238E27FC236}">
                <a16:creationId xmlns:a16="http://schemas.microsoft.com/office/drawing/2014/main" id="{DC19E333-B4DB-40EE-A56D-2345F31F5B86}"/>
              </a:ext>
            </a:extLst>
          </xdr:cNvPr>
          <xdr:cNvSpPr>
            <a:spLocks/>
          </xdr:cNvSpPr>
        </xdr:nvSpPr>
        <xdr:spPr bwMode="auto">
          <a:xfrm>
            <a:off x="576" y="113"/>
            <a:ext cx="19" cy="31"/>
          </a:xfrm>
          <a:custGeom>
            <a:avLst/>
            <a:gdLst>
              <a:gd name="T0" fmla="*/ 0 w 26"/>
              <a:gd name="T1" fmla="*/ 14 h 31"/>
              <a:gd name="T2" fmla="*/ 0 w 26"/>
              <a:gd name="T3" fmla="*/ 5 h 31"/>
              <a:gd name="T4" fmla="*/ 1 w 26"/>
              <a:gd name="T5" fmla="*/ 1 h 31"/>
              <a:gd name="T6" fmla="*/ 1 w 26"/>
              <a:gd name="T7" fmla="*/ 0 h 31"/>
              <a:gd name="T8" fmla="*/ 1 w 26"/>
              <a:gd name="T9" fmla="*/ 0 h 31"/>
              <a:gd name="T10" fmla="*/ 1 w 26"/>
              <a:gd name="T11" fmla="*/ 2 h 31"/>
              <a:gd name="T12" fmla="*/ 1 w 26"/>
              <a:gd name="T13" fmla="*/ 7 h 31"/>
              <a:gd name="T14" fmla="*/ 1 w 26"/>
              <a:gd name="T15" fmla="*/ 31 h 31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w 26"/>
              <a:gd name="T25" fmla="*/ 0 h 31"/>
              <a:gd name="T26" fmla="*/ 26 w 26"/>
              <a:gd name="T27" fmla="*/ 31 h 31"/>
            </a:gdLst>
            <a:ahLst/>
            <a:cxnLst>
              <a:cxn ang="T16">
                <a:pos x="T0" y="T1"/>
              </a:cxn>
              <a:cxn ang="T17">
                <a:pos x="T2" y="T3"/>
              </a:cxn>
              <a:cxn ang="T18">
                <a:pos x="T4" y="T5"/>
              </a:cxn>
              <a:cxn ang="T19">
                <a:pos x="T6" y="T7"/>
              </a:cxn>
              <a:cxn ang="T20">
                <a:pos x="T8" y="T9"/>
              </a:cxn>
              <a:cxn ang="T21">
                <a:pos x="T10" y="T11"/>
              </a:cxn>
              <a:cxn ang="T22">
                <a:pos x="T12" y="T13"/>
              </a:cxn>
              <a:cxn ang="T23">
                <a:pos x="T14" y="T15"/>
              </a:cxn>
            </a:cxnLst>
            <a:rect l="T24" t="T25" r="T26" b="T27"/>
            <a:pathLst>
              <a:path w="26" h="31">
                <a:moveTo>
                  <a:pt x="0" y="14"/>
                </a:moveTo>
                <a:lnTo>
                  <a:pt x="0" y="5"/>
                </a:lnTo>
                <a:lnTo>
                  <a:pt x="2" y="1"/>
                </a:lnTo>
                <a:lnTo>
                  <a:pt x="6" y="0"/>
                </a:lnTo>
                <a:lnTo>
                  <a:pt x="21" y="0"/>
                </a:lnTo>
                <a:lnTo>
                  <a:pt x="25" y="2"/>
                </a:lnTo>
                <a:lnTo>
                  <a:pt x="26" y="7"/>
                </a:lnTo>
                <a:lnTo>
                  <a:pt x="26" y="31"/>
                </a:lnTo>
              </a:path>
            </a:pathLst>
          </a:custGeom>
          <a:noFill/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86" name="Line 673">
            <a:extLst>
              <a:ext uri="{FF2B5EF4-FFF2-40B4-BE49-F238E27FC236}">
                <a16:creationId xmlns:a16="http://schemas.microsoft.com/office/drawing/2014/main" id="{2D997725-EA16-4DCA-9388-33FB0703FE23}"/>
              </a:ext>
            </a:extLst>
          </xdr:cNvPr>
          <xdr:cNvSpPr>
            <a:spLocks noChangeShapeType="1"/>
          </xdr:cNvSpPr>
        </xdr:nvSpPr>
        <xdr:spPr bwMode="auto">
          <a:xfrm flipH="1">
            <a:off x="576" y="195"/>
            <a:ext cx="0" cy="15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7" name="Rectangle 674">
            <a:extLst>
              <a:ext uri="{FF2B5EF4-FFF2-40B4-BE49-F238E27FC236}">
                <a16:creationId xmlns:a16="http://schemas.microsoft.com/office/drawing/2014/main" id="{EBC29FF5-D343-45B7-ABD6-FCD640FA5C07}"/>
              </a:ext>
            </a:extLst>
          </xdr:cNvPr>
          <xdr:cNvSpPr>
            <a:spLocks noChangeArrowheads="1"/>
          </xdr:cNvSpPr>
        </xdr:nvSpPr>
        <xdr:spPr bwMode="auto">
          <a:xfrm>
            <a:off x="520" y="109"/>
            <a:ext cx="8" cy="17"/>
          </a:xfrm>
          <a:prstGeom prst="rect">
            <a:avLst/>
          </a:prstGeom>
          <a:noFill/>
          <a:ln w="12700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88" name="Rectangle 675">
            <a:extLst>
              <a:ext uri="{FF2B5EF4-FFF2-40B4-BE49-F238E27FC236}">
                <a16:creationId xmlns:a16="http://schemas.microsoft.com/office/drawing/2014/main" id="{C0007B33-87BE-433A-B3E5-35D02B6F633E}"/>
              </a:ext>
            </a:extLst>
          </xdr:cNvPr>
          <xdr:cNvSpPr>
            <a:spLocks noChangeArrowheads="1"/>
          </xdr:cNvSpPr>
        </xdr:nvSpPr>
        <xdr:spPr bwMode="auto">
          <a:xfrm>
            <a:off x="551" y="109"/>
            <a:ext cx="8" cy="17"/>
          </a:xfrm>
          <a:prstGeom prst="rect">
            <a:avLst/>
          </a:prstGeom>
          <a:noFill/>
          <a:ln w="12700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</xdr:grpSp>
    <xdr:clientData/>
  </xdr:twoCellAnchor>
  <xdr:twoCellAnchor>
    <xdr:from>
      <xdr:col>30</xdr:col>
      <xdr:colOff>124706</xdr:colOff>
      <xdr:row>16</xdr:row>
      <xdr:rowOff>128588</xdr:rowOff>
    </xdr:from>
    <xdr:to>
      <xdr:col>34</xdr:col>
      <xdr:colOff>77038</xdr:colOff>
      <xdr:row>22</xdr:row>
      <xdr:rowOff>40141</xdr:rowOff>
    </xdr:to>
    <xdr:grpSp>
      <xdr:nvGrpSpPr>
        <xdr:cNvPr id="175" name="Group 569">
          <a:extLst>
            <a:ext uri="{FF2B5EF4-FFF2-40B4-BE49-F238E27FC236}">
              <a16:creationId xmlns:a16="http://schemas.microsoft.com/office/drawing/2014/main" id="{D3E52608-52F0-4D0A-B8A9-A7F4013F7C70}"/>
            </a:ext>
          </a:extLst>
        </xdr:cNvPr>
        <xdr:cNvGrpSpPr>
          <a:grpSpLocks/>
        </xdr:cNvGrpSpPr>
      </xdr:nvGrpSpPr>
      <xdr:grpSpPr bwMode="auto">
        <a:xfrm>
          <a:off x="13816894" y="3200401"/>
          <a:ext cx="1881144" cy="1054553"/>
          <a:chOff x="466" y="109"/>
          <a:chExt cx="165" cy="116"/>
        </a:xfrm>
      </xdr:grpSpPr>
      <xdr:sp macro="" textlink="">
        <xdr:nvSpPr>
          <xdr:cNvPr id="176" name="Freeform 570">
            <a:extLst>
              <a:ext uri="{FF2B5EF4-FFF2-40B4-BE49-F238E27FC236}">
                <a16:creationId xmlns:a16="http://schemas.microsoft.com/office/drawing/2014/main" id="{00E5BF6A-46BA-45FC-9010-BBE172294AFE}"/>
              </a:ext>
            </a:extLst>
          </xdr:cNvPr>
          <xdr:cNvSpPr>
            <a:spLocks/>
          </xdr:cNvSpPr>
        </xdr:nvSpPr>
        <xdr:spPr bwMode="auto">
          <a:xfrm flipH="1">
            <a:off x="532" y="129"/>
            <a:ext cx="15" cy="18"/>
          </a:xfrm>
          <a:custGeom>
            <a:avLst/>
            <a:gdLst>
              <a:gd name="T0" fmla="*/ 0 w 18"/>
              <a:gd name="T1" fmla="*/ 18 h 18"/>
              <a:gd name="T2" fmla="*/ 2 w 18"/>
              <a:gd name="T3" fmla="*/ 18 h 18"/>
              <a:gd name="T4" fmla="*/ 2 w 18"/>
              <a:gd name="T5" fmla="*/ 7 h 18"/>
              <a:gd name="T6" fmla="*/ 2 w 18"/>
              <a:gd name="T7" fmla="*/ 2 h 18"/>
              <a:gd name="T8" fmla="*/ 2 w 18"/>
              <a:gd name="T9" fmla="*/ 0 h 18"/>
              <a:gd name="T10" fmla="*/ 2 w 18"/>
              <a:gd name="T11" fmla="*/ 0 h 18"/>
              <a:gd name="T12" fmla="*/ 2 w 18"/>
              <a:gd name="T13" fmla="*/ 2 h 18"/>
              <a:gd name="T14" fmla="*/ 0 w 18"/>
              <a:gd name="T15" fmla="*/ 6 h 18"/>
              <a:gd name="T16" fmla="*/ 0 w 18"/>
              <a:gd name="T17" fmla="*/ 18 h 18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18"/>
              <a:gd name="T28" fmla="*/ 0 h 18"/>
              <a:gd name="T29" fmla="*/ 18 w 18"/>
              <a:gd name="T30" fmla="*/ 18 h 18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18" h="18">
                <a:moveTo>
                  <a:pt x="0" y="18"/>
                </a:moveTo>
                <a:lnTo>
                  <a:pt x="18" y="18"/>
                </a:lnTo>
                <a:lnTo>
                  <a:pt x="18" y="7"/>
                </a:lnTo>
                <a:lnTo>
                  <a:pt x="16" y="2"/>
                </a:lnTo>
                <a:lnTo>
                  <a:pt x="12" y="0"/>
                </a:lnTo>
                <a:lnTo>
                  <a:pt x="5" y="0"/>
                </a:lnTo>
                <a:lnTo>
                  <a:pt x="2" y="2"/>
                </a:lnTo>
                <a:lnTo>
                  <a:pt x="0" y="6"/>
                </a:lnTo>
                <a:lnTo>
                  <a:pt x="0" y="18"/>
                </a:lnTo>
                <a:close/>
              </a:path>
            </a:pathLst>
          </a:custGeom>
          <a:noFill/>
          <a:ln w="12700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77" name="Line 571">
            <a:extLst>
              <a:ext uri="{FF2B5EF4-FFF2-40B4-BE49-F238E27FC236}">
                <a16:creationId xmlns:a16="http://schemas.microsoft.com/office/drawing/2014/main" id="{F2999EDD-CA83-4471-87D1-365FC82030D8}"/>
              </a:ext>
            </a:extLst>
          </xdr:cNvPr>
          <xdr:cNvSpPr>
            <a:spLocks noChangeShapeType="1"/>
          </xdr:cNvSpPr>
        </xdr:nvSpPr>
        <xdr:spPr bwMode="auto">
          <a:xfrm flipH="1">
            <a:off x="540" y="147"/>
            <a:ext cx="0" cy="27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78" name="Line 572">
            <a:extLst>
              <a:ext uri="{FF2B5EF4-FFF2-40B4-BE49-F238E27FC236}">
                <a16:creationId xmlns:a16="http://schemas.microsoft.com/office/drawing/2014/main" id="{92C835DA-B388-4A55-B88F-B29FD0DBE3AA}"/>
              </a:ext>
            </a:extLst>
          </xdr:cNvPr>
          <xdr:cNvSpPr>
            <a:spLocks noChangeShapeType="1"/>
          </xdr:cNvSpPr>
        </xdr:nvSpPr>
        <xdr:spPr bwMode="auto">
          <a:xfrm flipH="1">
            <a:off x="537" y="174"/>
            <a:ext cx="6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79" name="Line 573">
            <a:extLst>
              <a:ext uri="{FF2B5EF4-FFF2-40B4-BE49-F238E27FC236}">
                <a16:creationId xmlns:a16="http://schemas.microsoft.com/office/drawing/2014/main" id="{E104C017-B5B7-4867-B3D5-3D2549DE62A1}"/>
              </a:ext>
            </a:extLst>
          </xdr:cNvPr>
          <xdr:cNvSpPr>
            <a:spLocks noChangeShapeType="1"/>
          </xdr:cNvSpPr>
        </xdr:nvSpPr>
        <xdr:spPr bwMode="auto">
          <a:xfrm flipH="1">
            <a:off x="537" y="176"/>
            <a:ext cx="6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0" name="Line 574">
            <a:extLst>
              <a:ext uri="{FF2B5EF4-FFF2-40B4-BE49-F238E27FC236}">
                <a16:creationId xmlns:a16="http://schemas.microsoft.com/office/drawing/2014/main" id="{F6FFA89B-90A1-44AA-A3BB-2EA5018DEE4E}"/>
              </a:ext>
            </a:extLst>
          </xdr:cNvPr>
          <xdr:cNvSpPr>
            <a:spLocks noChangeShapeType="1"/>
          </xdr:cNvSpPr>
        </xdr:nvSpPr>
        <xdr:spPr bwMode="auto">
          <a:xfrm flipH="1">
            <a:off x="526" y="139"/>
            <a:ext cx="6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1" name="Line 575">
            <a:extLst>
              <a:ext uri="{FF2B5EF4-FFF2-40B4-BE49-F238E27FC236}">
                <a16:creationId xmlns:a16="http://schemas.microsoft.com/office/drawing/2014/main" id="{127EE9B5-B832-40E2-8EB5-594042B68ADD}"/>
              </a:ext>
            </a:extLst>
          </xdr:cNvPr>
          <xdr:cNvSpPr>
            <a:spLocks noChangeShapeType="1"/>
          </xdr:cNvSpPr>
        </xdr:nvSpPr>
        <xdr:spPr bwMode="auto">
          <a:xfrm>
            <a:off x="547" y="139"/>
            <a:ext cx="6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2" name="Line 576">
            <a:extLst>
              <a:ext uri="{FF2B5EF4-FFF2-40B4-BE49-F238E27FC236}">
                <a16:creationId xmlns:a16="http://schemas.microsoft.com/office/drawing/2014/main" id="{987CAC83-490D-48AE-9B7C-998F13D93861}"/>
              </a:ext>
            </a:extLst>
          </xdr:cNvPr>
          <xdr:cNvSpPr>
            <a:spLocks noChangeShapeType="1"/>
          </xdr:cNvSpPr>
        </xdr:nvSpPr>
        <xdr:spPr bwMode="auto">
          <a:xfrm flipH="1">
            <a:off x="515" y="139"/>
            <a:ext cx="7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3" name="Line 577">
            <a:extLst>
              <a:ext uri="{FF2B5EF4-FFF2-40B4-BE49-F238E27FC236}">
                <a16:creationId xmlns:a16="http://schemas.microsoft.com/office/drawing/2014/main" id="{1A343AAF-BA96-4382-9D72-7E4D0404CA88}"/>
              </a:ext>
            </a:extLst>
          </xdr:cNvPr>
          <xdr:cNvSpPr>
            <a:spLocks noChangeShapeType="1"/>
          </xdr:cNvSpPr>
        </xdr:nvSpPr>
        <xdr:spPr bwMode="auto">
          <a:xfrm>
            <a:off x="557" y="139"/>
            <a:ext cx="6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4" name="Line 578">
            <a:extLst>
              <a:ext uri="{FF2B5EF4-FFF2-40B4-BE49-F238E27FC236}">
                <a16:creationId xmlns:a16="http://schemas.microsoft.com/office/drawing/2014/main" id="{3DC49523-32BB-40DA-A2E5-8B0A816D1310}"/>
              </a:ext>
            </a:extLst>
          </xdr:cNvPr>
          <xdr:cNvSpPr>
            <a:spLocks noChangeShapeType="1"/>
          </xdr:cNvSpPr>
        </xdr:nvSpPr>
        <xdr:spPr bwMode="auto">
          <a:xfrm flipH="1">
            <a:off x="503" y="195"/>
            <a:ext cx="0" cy="18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pSp>
        <xdr:nvGrpSpPr>
          <xdr:cNvPr id="185" name="Group 579">
            <a:extLst>
              <a:ext uri="{FF2B5EF4-FFF2-40B4-BE49-F238E27FC236}">
                <a16:creationId xmlns:a16="http://schemas.microsoft.com/office/drawing/2014/main" id="{3C655CF0-65DD-4CFA-8409-09E20EF648B2}"/>
              </a:ext>
            </a:extLst>
          </xdr:cNvPr>
          <xdr:cNvGrpSpPr>
            <a:grpSpLocks noChangeAspect="1"/>
          </xdr:cNvGrpSpPr>
        </xdr:nvGrpSpPr>
        <xdr:grpSpPr bwMode="auto">
          <a:xfrm flipH="1">
            <a:off x="495" y="127"/>
            <a:ext cx="20" cy="67"/>
            <a:chOff x="3745" y="625"/>
            <a:chExt cx="464" cy="987"/>
          </a:xfrm>
        </xdr:grpSpPr>
        <xdr:sp macro="" textlink="">
          <xdr:nvSpPr>
            <xdr:cNvPr id="248" name="Line 580">
              <a:extLst>
                <a:ext uri="{FF2B5EF4-FFF2-40B4-BE49-F238E27FC236}">
                  <a16:creationId xmlns:a16="http://schemas.microsoft.com/office/drawing/2014/main" id="{5B3487E4-949B-4885-87CB-EDBDBB8B6BBD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974" y="1611"/>
              <a:ext cx="117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9" name="Line 581">
              <a:extLst>
                <a:ext uri="{FF2B5EF4-FFF2-40B4-BE49-F238E27FC236}">
                  <a16:creationId xmlns:a16="http://schemas.microsoft.com/office/drawing/2014/main" id="{BA9633EA-8342-4CC3-95B5-AAA126EE70F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74" y="1548"/>
              <a:ext cx="1" cy="63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0" name="Line 582">
              <a:extLst>
                <a:ext uri="{FF2B5EF4-FFF2-40B4-BE49-F238E27FC236}">
                  <a16:creationId xmlns:a16="http://schemas.microsoft.com/office/drawing/2014/main" id="{ADD59D54-637F-4342-B4BD-9C55FAD75CF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548"/>
              <a:ext cx="1" cy="63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1" name="Line 583">
              <a:extLst>
                <a:ext uri="{FF2B5EF4-FFF2-40B4-BE49-F238E27FC236}">
                  <a16:creationId xmlns:a16="http://schemas.microsoft.com/office/drawing/2014/main" id="{11045A2A-5F73-4269-8A29-23941A5F42E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032" y="625"/>
              <a:ext cx="98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2" name="Line 584">
              <a:extLst>
                <a:ext uri="{FF2B5EF4-FFF2-40B4-BE49-F238E27FC236}">
                  <a16:creationId xmlns:a16="http://schemas.microsoft.com/office/drawing/2014/main" id="{0D4B9AAE-37A4-4353-9254-9DC34A904E1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130" y="625"/>
              <a:ext cx="1" cy="10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3" name="Line 585">
              <a:extLst>
                <a:ext uri="{FF2B5EF4-FFF2-40B4-BE49-F238E27FC236}">
                  <a16:creationId xmlns:a16="http://schemas.microsoft.com/office/drawing/2014/main" id="{DD69DBB5-C1DA-4DC8-B537-51672DA3F6FF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35" y="625"/>
              <a:ext cx="1" cy="10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4" name="Line 586">
              <a:extLst>
                <a:ext uri="{FF2B5EF4-FFF2-40B4-BE49-F238E27FC236}">
                  <a16:creationId xmlns:a16="http://schemas.microsoft.com/office/drawing/2014/main" id="{763EA025-E6B1-43DE-A5C9-2D5340ECE9B3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935" y="625"/>
              <a:ext cx="97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5" name="Line 587">
              <a:extLst>
                <a:ext uri="{FF2B5EF4-FFF2-40B4-BE49-F238E27FC236}">
                  <a16:creationId xmlns:a16="http://schemas.microsoft.com/office/drawing/2014/main" id="{33D41CE0-7A63-4B94-AE7B-E4ABE2D4771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745" y="718"/>
              <a:ext cx="1" cy="149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6" name="Line 588">
              <a:extLst>
                <a:ext uri="{FF2B5EF4-FFF2-40B4-BE49-F238E27FC236}">
                  <a16:creationId xmlns:a16="http://schemas.microsoft.com/office/drawing/2014/main" id="{A230983B-B888-43DB-836A-1D25DD167A9F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751" y="718"/>
              <a:ext cx="1" cy="149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7" name="Line 589">
              <a:extLst>
                <a:ext uri="{FF2B5EF4-FFF2-40B4-BE49-F238E27FC236}">
                  <a16:creationId xmlns:a16="http://schemas.microsoft.com/office/drawing/2014/main" id="{E44668E2-944D-4741-AE97-448041C13523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751" y="718"/>
              <a:ext cx="1" cy="1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8" name="Line 590">
              <a:extLst>
                <a:ext uri="{FF2B5EF4-FFF2-40B4-BE49-F238E27FC236}">
                  <a16:creationId xmlns:a16="http://schemas.microsoft.com/office/drawing/2014/main" id="{1E236476-48BE-41E1-B318-A41A6506A84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751" y="854"/>
              <a:ext cx="124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9" name="Line 591">
              <a:extLst>
                <a:ext uri="{FF2B5EF4-FFF2-40B4-BE49-F238E27FC236}">
                  <a16:creationId xmlns:a16="http://schemas.microsoft.com/office/drawing/2014/main" id="{E8435D48-6112-4A35-8E10-902A67F520C4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751" y="733"/>
              <a:ext cx="106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0" name="Line 592">
              <a:extLst>
                <a:ext uri="{FF2B5EF4-FFF2-40B4-BE49-F238E27FC236}">
                  <a16:creationId xmlns:a16="http://schemas.microsoft.com/office/drawing/2014/main" id="{198880A6-709D-416C-BF49-71C5584D98C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208" y="73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1" name="Line 593">
              <a:extLst>
                <a:ext uri="{FF2B5EF4-FFF2-40B4-BE49-F238E27FC236}">
                  <a16:creationId xmlns:a16="http://schemas.microsoft.com/office/drawing/2014/main" id="{53E36A29-DCBB-4C63-A924-3838D06A823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91" y="768"/>
              <a:ext cx="1" cy="247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2" name="Line 594">
              <a:extLst>
                <a:ext uri="{FF2B5EF4-FFF2-40B4-BE49-F238E27FC236}">
                  <a16:creationId xmlns:a16="http://schemas.microsoft.com/office/drawing/2014/main" id="{57C36011-BFD9-4DA5-A517-7113EE3067D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857" y="73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3" name="Line 595">
              <a:extLst>
                <a:ext uri="{FF2B5EF4-FFF2-40B4-BE49-F238E27FC236}">
                  <a16:creationId xmlns:a16="http://schemas.microsoft.com/office/drawing/2014/main" id="{1268B16E-5617-42EA-8C65-8CAB579FA633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875" y="768"/>
              <a:ext cx="1" cy="247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4" name="Line 596">
              <a:extLst>
                <a:ext uri="{FF2B5EF4-FFF2-40B4-BE49-F238E27FC236}">
                  <a16:creationId xmlns:a16="http://schemas.microsoft.com/office/drawing/2014/main" id="{055DD4E8-0B37-4945-BC65-2440907251D7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733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5" name="Line 597">
              <a:extLst>
                <a:ext uri="{FF2B5EF4-FFF2-40B4-BE49-F238E27FC236}">
                  <a16:creationId xmlns:a16="http://schemas.microsoft.com/office/drawing/2014/main" id="{335279C9-994E-4F34-AA4E-DA3C4C27344E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768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6" name="Line 598">
              <a:extLst>
                <a:ext uri="{FF2B5EF4-FFF2-40B4-BE49-F238E27FC236}">
                  <a16:creationId xmlns:a16="http://schemas.microsoft.com/office/drawing/2014/main" id="{B75F4722-82CD-46C3-B8A4-1E9A45CD0F98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1015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7" name="Line 599">
              <a:extLst>
                <a:ext uri="{FF2B5EF4-FFF2-40B4-BE49-F238E27FC236}">
                  <a16:creationId xmlns:a16="http://schemas.microsoft.com/office/drawing/2014/main" id="{83D4A2BD-2436-44A5-8210-B7EFDC01CD47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14" y="1396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8" name="Line 600">
              <a:extLst>
                <a:ext uri="{FF2B5EF4-FFF2-40B4-BE49-F238E27FC236}">
                  <a16:creationId xmlns:a16="http://schemas.microsoft.com/office/drawing/2014/main" id="{3E62F5BF-1E8A-4757-9C58-652674EA4A8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050"/>
              <a:ext cx="100" cy="34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9" name="Line 601">
              <a:extLst>
                <a:ext uri="{FF2B5EF4-FFF2-40B4-BE49-F238E27FC236}">
                  <a16:creationId xmlns:a16="http://schemas.microsoft.com/office/drawing/2014/main" id="{EE56E6F5-8DB7-40DD-ACEF-D932C6981373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14" y="151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0" name="Line 602">
              <a:extLst>
                <a:ext uri="{FF2B5EF4-FFF2-40B4-BE49-F238E27FC236}">
                  <a16:creationId xmlns:a16="http://schemas.microsoft.com/office/drawing/2014/main" id="{D25AB2BA-62FE-4C4B-874E-451DFF9B8AAA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431"/>
              <a:ext cx="1" cy="8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1" name="Line 603">
              <a:extLst>
                <a:ext uri="{FF2B5EF4-FFF2-40B4-BE49-F238E27FC236}">
                  <a16:creationId xmlns:a16="http://schemas.microsoft.com/office/drawing/2014/main" id="{040043C1-8D0A-4468-B9B9-AF2C0069A4AD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51" y="1396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2" name="Line 604">
              <a:extLst>
                <a:ext uri="{FF2B5EF4-FFF2-40B4-BE49-F238E27FC236}">
                  <a16:creationId xmlns:a16="http://schemas.microsoft.com/office/drawing/2014/main" id="{2BDFEF64-28B8-4B6D-B74C-4603E345016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75" y="1050"/>
              <a:ext cx="99" cy="34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3" name="Line 605">
              <a:extLst>
                <a:ext uri="{FF2B5EF4-FFF2-40B4-BE49-F238E27FC236}">
                  <a16:creationId xmlns:a16="http://schemas.microsoft.com/office/drawing/2014/main" id="{84D8799B-71A8-4BB8-B9D8-DE75F9CC0F54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51" y="151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4" name="Line 606">
              <a:extLst>
                <a:ext uri="{FF2B5EF4-FFF2-40B4-BE49-F238E27FC236}">
                  <a16:creationId xmlns:a16="http://schemas.microsoft.com/office/drawing/2014/main" id="{2DE9CF14-6498-4F19-BB13-07914972FB1A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74" y="1431"/>
              <a:ext cx="1" cy="8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5" name="Line 607">
              <a:extLst>
                <a:ext uri="{FF2B5EF4-FFF2-40B4-BE49-F238E27FC236}">
                  <a16:creationId xmlns:a16="http://schemas.microsoft.com/office/drawing/2014/main" id="{7BB3363C-E93D-4881-B388-31AA71A5A37A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1050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6" name="Line 608">
              <a:extLst>
                <a:ext uri="{FF2B5EF4-FFF2-40B4-BE49-F238E27FC236}">
                  <a16:creationId xmlns:a16="http://schemas.microsoft.com/office/drawing/2014/main" id="{23001BC9-6556-4CD2-88BE-3AB014602829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396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7" name="Line 609">
              <a:extLst>
                <a:ext uri="{FF2B5EF4-FFF2-40B4-BE49-F238E27FC236}">
                  <a16:creationId xmlns:a16="http://schemas.microsoft.com/office/drawing/2014/main" id="{2ED7559C-31A1-447A-9EF7-3428E9FA9D3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431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8" name="Line 610">
              <a:extLst>
                <a:ext uri="{FF2B5EF4-FFF2-40B4-BE49-F238E27FC236}">
                  <a16:creationId xmlns:a16="http://schemas.microsoft.com/office/drawing/2014/main" id="{ED93F051-B159-4871-A684-0856BD497159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513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9" name="Line 611">
              <a:extLst>
                <a:ext uri="{FF2B5EF4-FFF2-40B4-BE49-F238E27FC236}">
                  <a16:creationId xmlns:a16="http://schemas.microsoft.com/office/drawing/2014/main" id="{AFC69840-320E-4756-B9FB-B7C829178C0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548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80" name="Line 612">
              <a:extLst>
                <a:ext uri="{FF2B5EF4-FFF2-40B4-BE49-F238E27FC236}">
                  <a16:creationId xmlns:a16="http://schemas.microsoft.com/office/drawing/2014/main" id="{E82EC0A1-9FB6-4E13-9BFE-CA1B6D14B02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208" y="1015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81" name="Line 613">
              <a:extLst>
                <a:ext uri="{FF2B5EF4-FFF2-40B4-BE49-F238E27FC236}">
                  <a16:creationId xmlns:a16="http://schemas.microsoft.com/office/drawing/2014/main" id="{4FF2C51C-6E81-4922-9C7A-E36431865BDF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1015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186" name="Group 614">
            <a:extLst>
              <a:ext uri="{FF2B5EF4-FFF2-40B4-BE49-F238E27FC236}">
                <a16:creationId xmlns:a16="http://schemas.microsoft.com/office/drawing/2014/main" id="{2BDEBC27-E05D-41CA-878C-C9235B4A204C}"/>
              </a:ext>
            </a:extLst>
          </xdr:cNvPr>
          <xdr:cNvGrpSpPr>
            <a:grpSpLocks noChangeAspect="1"/>
          </xdr:cNvGrpSpPr>
        </xdr:nvGrpSpPr>
        <xdr:grpSpPr bwMode="auto">
          <a:xfrm>
            <a:off x="563" y="127"/>
            <a:ext cx="21" cy="67"/>
            <a:chOff x="3745" y="625"/>
            <a:chExt cx="464" cy="987"/>
          </a:xfrm>
        </xdr:grpSpPr>
        <xdr:sp macro="" textlink="">
          <xdr:nvSpPr>
            <xdr:cNvPr id="214" name="Line 615">
              <a:extLst>
                <a:ext uri="{FF2B5EF4-FFF2-40B4-BE49-F238E27FC236}">
                  <a16:creationId xmlns:a16="http://schemas.microsoft.com/office/drawing/2014/main" id="{3B3DDCDE-B036-4072-BA47-7A8F1BCA632D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974" y="1611"/>
              <a:ext cx="117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5" name="Line 616">
              <a:extLst>
                <a:ext uri="{FF2B5EF4-FFF2-40B4-BE49-F238E27FC236}">
                  <a16:creationId xmlns:a16="http://schemas.microsoft.com/office/drawing/2014/main" id="{A3FE053D-E48C-4D6C-8EAD-DE28B25322CD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74" y="1548"/>
              <a:ext cx="1" cy="63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6" name="Line 617">
              <a:extLst>
                <a:ext uri="{FF2B5EF4-FFF2-40B4-BE49-F238E27FC236}">
                  <a16:creationId xmlns:a16="http://schemas.microsoft.com/office/drawing/2014/main" id="{AAFA33D4-17CE-4EAB-A9D1-11D61F2C1AC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548"/>
              <a:ext cx="1" cy="63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7" name="Line 618">
              <a:extLst>
                <a:ext uri="{FF2B5EF4-FFF2-40B4-BE49-F238E27FC236}">
                  <a16:creationId xmlns:a16="http://schemas.microsoft.com/office/drawing/2014/main" id="{F82CA493-FAEB-4785-9E1A-DE9150C0F51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032" y="625"/>
              <a:ext cx="98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8" name="Line 619">
              <a:extLst>
                <a:ext uri="{FF2B5EF4-FFF2-40B4-BE49-F238E27FC236}">
                  <a16:creationId xmlns:a16="http://schemas.microsoft.com/office/drawing/2014/main" id="{583E8409-346A-40CC-8BAE-E42EE7BB71A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130" y="625"/>
              <a:ext cx="1" cy="10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9" name="Line 620">
              <a:extLst>
                <a:ext uri="{FF2B5EF4-FFF2-40B4-BE49-F238E27FC236}">
                  <a16:creationId xmlns:a16="http://schemas.microsoft.com/office/drawing/2014/main" id="{5D9C168A-2842-4392-AA9B-C10048F2877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35" y="625"/>
              <a:ext cx="1" cy="10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0" name="Line 621">
              <a:extLst>
                <a:ext uri="{FF2B5EF4-FFF2-40B4-BE49-F238E27FC236}">
                  <a16:creationId xmlns:a16="http://schemas.microsoft.com/office/drawing/2014/main" id="{365CFEED-C5C2-4EEC-9151-66068C337143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935" y="625"/>
              <a:ext cx="97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1" name="Line 622">
              <a:extLst>
                <a:ext uri="{FF2B5EF4-FFF2-40B4-BE49-F238E27FC236}">
                  <a16:creationId xmlns:a16="http://schemas.microsoft.com/office/drawing/2014/main" id="{2D124E3C-4176-462F-AEE3-1EC5DEF282FA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745" y="718"/>
              <a:ext cx="1" cy="149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2" name="Line 623">
              <a:extLst>
                <a:ext uri="{FF2B5EF4-FFF2-40B4-BE49-F238E27FC236}">
                  <a16:creationId xmlns:a16="http://schemas.microsoft.com/office/drawing/2014/main" id="{580A5B51-140F-4737-9817-642CFC91444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751" y="718"/>
              <a:ext cx="1" cy="149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3" name="Line 624">
              <a:extLst>
                <a:ext uri="{FF2B5EF4-FFF2-40B4-BE49-F238E27FC236}">
                  <a16:creationId xmlns:a16="http://schemas.microsoft.com/office/drawing/2014/main" id="{0F4831CA-93F1-49BA-B853-CD3ED74C5A48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751" y="718"/>
              <a:ext cx="1" cy="1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4" name="Line 625">
              <a:extLst>
                <a:ext uri="{FF2B5EF4-FFF2-40B4-BE49-F238E27FC236}">
                  <a16:creationId xmlns:a16="http://schemas.microsoft.com/office/drawing/2014/main" id="{48FF06D9-D615-4BEE-A0AA-AE30E514F14F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751" y="854"/>
              <a:ext cx="124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5" name="Line 626">
              <a:extLst>
                <a:ext uri="{FF2B5EF4-FFF2-40B4-BE49-F238E27FC236}">
                  <a16:creationId xmlns:a16="http://schemas.microsoft.com/office/drawing/2014/main" id="{12347FD7-9562-48E3-B4D8-47E6F5A40648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751" y="733"/>
              <a:ext cx="106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6" name="Line 627">
              <a:extLst>
                <a:ext uri="{FF2B5EF4-FFF2-40B4-BE49-F238E27FC236}">
                  <a16:creationId xmlns:a16="http://schemas.microsoft.com/office/drawing/2014/main" id="{0ED511D2-607D-48F7-934A-B1910AE3C5A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208" y="73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7" name="Line 628">
              <a:extLst>
                <a:ext uri="{FF2B5EF4-FFF2-40B4-BE49-F238E27FC236}">
                  <a16:creationId xmlns:a16="http://schemas.microsoft.com/office/drawing/2014/main" id="{C45B2E71-AF44-42B3-839A-5000DDEB176D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91" y="768"/>
              <a:ext cx="1" cy="247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8" name="Line 629">
              <a:extLst>
                <a:ext uri="{FF2B5EF4-FFF2-40B4-BE49-F238E27FC236}">
                  <a16:creationId xmlns:a16="http://schemas.microsoft.com/office/drawing/2014/main" id="{85328C44-2ADA-4B82-B659-7F974F2B35A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857" y="73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9" name="Line 630">
              <a:extLst>
                <a:ext uri="{FF2B5EF4-FFF2-40B4-BE49-F238E27FC236}">
                  <a16:creationId xmlns:a16="http://schemas.microsoft.com/office/drawing/2014/main" id="{C4FB27BB-EAD3-41A9-88DA-DCB4F45CE281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875" y="768"/>
              <a:ext cx="1" cy="247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0" name="Line 631">
              <a:extLst>
                <a:ext uri="{FF2B5EF4-FFF2-40B4-BE49-F238E27FC236}">
                  <a16:creationId xmlns:a16="http://schemas.microsoft.com/office/drawing/2014/main" id="{74EB9BC6-0D5A-4A4D-9605-9DFB19540069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733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1" name="Line 632">
              <a:extLst>
                <a:ext uri="{FF2B5EF4-FFF2-40B4-BE49-F238E27FC236}">
                  <a16:creationId xmlns:a16="http://schemas.microsoft.com/office/drawing/2014/main" id="{6518A96D-0A4D-46DC-9049-DA87D5014943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768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2" name="Line 633">
              <a:extLst>
                <a:ext uri="{FF2B5EF4-FFF2-40B4-BE49-F238E27FC236}">
                  <a16:creationId xmlns:a16="http://schemas.microsoft.com/office/drawing/2014/main" id="{75AA56EC-6DA9-484D-9EE1-FA130EEEC87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1015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3" name="Line 634">
              <a:extLst>
                <a:ext uri="{FF2B5EF4-FFF2-40B4-BE49-F238E27FC236}">
                  <a16:creationId xmlns:a16="http://schemas.microsoft.com/office/drawing/2014/main" id="{BE46B516-B690-4F50-857C-4EA1A9EA9C03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14" y="1396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4" name="Line 635">
              <a:extLst>
                <a:ext uri="{FF2B5EF4-FFF2-40B4-BE49-F238E27FC236}">
                  <a16:creationId xmlns:a16="http://schemas.microsoft.com/office/drawing/2014/main" id="{33C12185-82B6-4484-A4B0-30B207EDBB7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050"/>
              <a:ext cx="100" cy="34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5" name="Line 636">
              <a:extLst>
                <a:ext uri="{FF2B5EF4-FFF2-40B4-BE49-F238E27FC236}">
                  <a16:creationId xmlns:a16="http://schemas.microsoft.com/office/drawing/2014/main" id="{9999BEFF-A02C-4513-9EFD-2567C305BCCB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114" y="151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6" name="Line 637">
              <a:extLst>
                <a:ext uri="{FF2B5EF4-FFF2-40B4-BE49-F238E27FC236}">
                  <a16:creationId xmlns:a16="http://schemas.microsoft.com/office/drawing/2014/main" id="{0B9460A2-FE6C-42D1-B043-68642E587FAB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4091" y="1431"/>
              <a:ext cx="1" cy="8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7" name="Line 638">
              <a:extLst>
                <a:ext uri="{FF2B5EF4-FFF2-40B4-BE49-F238E27FC236}">
                  <a16:creationId xmlns:a16="http://schemas.microsoft.com/office/drawing/2014/main" id="{D8655EE2-6029-45FD-9AEF-370574805042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51" y="1396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8" name="Line 639">
              <a:extLst>
                <a:ext uri="{FF2B5EF4-FFF2-40B4-BE49-F238E27FC236}">
                  <a16:creationId xmlns:a16="http://schemas.microsoft.com/office/drawing/2014/main" id="{EAD8FDAD-75D7-48BF-AD52-256BD35BF2E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75" y="1050"/>
              <a:ext cx="99" cy="346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9" name="Line 640">
              <a:extLst>
                <a:ext uri="{FF2B5EF4-FFF2-40B4-BE49-F238E27FC236}">
                  <a16:creationId xmlns:a16="http://schemas.microsoft.com/office/drawing/2014/main" id="{6AC50D59-C8B3-4F90-AAD4-BF2AEA6B800B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51" y="1513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0" name="Line 641">
              <a:extLst>
                <a:ext uri="{FF2B5EF4-FFF2-40B4-BE49-F238E27FC236}">
                  <a16:creationId xmlns:a16="http://schemas.microsoft.com/office/drawing/2014/main" id="{A0947A6A-EAB5-4ED1-B87C-2BB44EF2886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V="1">
              <a:off x="3974" y="1431"/>
              <a:ext cx="1" cy="8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1" name="Line 642">
              <a:extLst>
                <a:ext uri="{FF2B5EF4-FFF2-40B4-BE49-F238E27FC236}">
                  <a16:creationId xmlns:a16="http://schemas.microsoft.com/office/drawing/2014/main" id="{3B26C5EA-C56D-4763-94F3-A1A75BCC6A55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 flipH="1">
              <a:off x="3857" y="1050"/>
              <a:ext cx="351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2" name="Line 643">
              <a:extLst>
                <a:ext uri="{FF2B5EF4-FFF2-40B4-BE49-F238E27FC236}">
                  <a16:creationId xmlns:a16="http://schemas.microsoft.com/office/drawing/2014/main" id="{1D5B9C61-8458-4017-A860-6169678DAB1C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396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3" name="Line 644">
              <a:extLst>
                <a:ext uri="{FF2B5EF4-FFF2-40B4-BE49-F238E27FC236}">
                  <a16:creationId xmlns:a16="http://schemas.microsoft.com/office/drawing/2014/main" id="{D7CDCDA2-2874-41A6-8CC4-FFE47D940E27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431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4" name="Line 645">
              <a:extLst>
                <a:ext uri="{FF2B5EF4-FFF2-40B4-BE49-F238E27FC236}">
                  <a16:creationId xmlns:a16="http://schemas.microsoft.com/office/drawing/2014/main" id="{709AF877-CBB8-4448-B67D-22D7E8137209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513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5" name="Line 646">
              <a:extLst>
                <a:ext uri="{FF2B5EF4-FFF2-40B4-BE49-F238E27FC236}">
                  <a16:creationId xmlns:a16="http://schemas.microsoft.com/office/drawing/2014/main" id="{B62ECD41-7DB9-4EFE-B8E6-14597BF5BBBA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951" y="1548"/>
              <a:ext cx="163" cy="1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6" name="Line 647">
              <a:extLst>
                <a:ext uri="{FF2B5EF4-FFF2-40B4-BE49-F238E27FC236}">
                  <a16:creationId xmlns:a16="http://schemas.microsoft.com/office/drawing/2014/main" id="{C87143B8-F514-4F99-B553-2347CBEC0BC7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4208" y="1015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7" name="Line 648">
              <a:extLst>
                <a:ext uri="{FF2B5EF4-FFF2-40B4-BE49-F238E27FC236}">
                  <a16:creationId xmlns:a16="http://schemas.microsoft.com/office/drawing/2014/main" id="{000A42E5-26DD-41CF-973D-C6D4E3B89A80}"/>
                </a:ext>
              </a:extLst>
            </xdr:cNvPr>
            <xdr:cNvSpPr>
              <a:spLocks noChangeAspect="1" noChangeShapeType="1"/>
            </xdr:cNvSpPr>
          </xdr:nvSpPr>
          <xdr:spPr bwMode="auto">
            <a:xfrm>
              <a:off x="3857" y="1015"/>
              <a:ext cx="1" cy="35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187" name="Group 649">
            <a:extLst>
              <a:ext uri="{FF2B5EF4-FFF2-40B4-BE49-F238E27FC236}">
                <a16:creationId xmlns:a16="http://schemas.microsoft.com/office/drawing/2014/main" id="{4020F514-1EA7-4A2B-94A1-B8F41CAC8D76}"/>
              </a:ext>
            </a:extLst>
          </xdr:cNvPr>
          <xdr:cNvGrpSpPr>
            <a:grpSpLocks/>
          </xdr:cNvGrpSpPr>
        </xdr:nvGrpSpPr>
        <xdr:grpSpPr bwMode="auto">
          <a:xfrm flipH="1">
            <a:off x="551" y="121"/>
            <a:ext cx="8" cy="22"/>
            <a:chOff x="720" y="188"/>
            <a:chExt cx="8" cy="22"/>
          </a:xfrm>
        </xdr:grpSpPr>
        <xdr:sp macro="" textlink="">
          <xdr:nvSpPr>
            <xdr:cNvPr id="210" name="Line 650">
              <a:extLst>
                <a:ext uri="{FF2B5EF4-FFF2-40B4-BE49-F238E27FC236}">
                  <a16:creationId xmlns:a16="http://schemas.microsoft.com/office/drawing/2014/main" id="{D80B41BD-554B-4553-A65E-902A19D21E91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726" y="202"/>
              <a:ext cx="0" cy="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1" name="Line 651">
              <a:extLst>
                <a:ext uri="{FF2B5EF4-FFF2-40B4-BE49-F238E27FC236}">
                  <a16:creationId xmlns:a16="http://schemas.microsoft.com/office/drawing/2014/main" id="{B53B20A7-9757-46CA-A961-5030A354F301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722" y="202"/>
              <a:ext cx="0" cy="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2" name="Line 652">
              <a:extLst>
                <a:ext uri="{FF2B5EF4-FFF2-40B4-BE49-F238E27FC236}">
                  <a16:creationId xmlns:a16="http://schemas.microsoft.com/office/drawing/2014/main" id="{F5FE5FE6-6B24-461B-876B-F0F184BAE77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4" y="188"/>
              <a:ext cx="0" cy="2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3" name="Line 653">
              <a:extLst>
                <a:ext uri="{FF2B5EF4-FFF2-40B4-BE49-F238E27FC236}">
                  <a16:creationId xmlns:a16="http://schemas.microsoft.com/office/drawing/2014/main" id="{78DFE87E-C2E6-470A-9E1E-0726CEA9F0C7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0" y="188"/>
              <a:ext cx="8" cy="0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188" name="Group 654">
            <a:extLst>
              <a:ext uri="{FF2B5EF4-FFF2-40B4-BE49-F238E27FC236}">
                <a16:creationId xmlns:a16="http://schemas.microsoft.com/office/drawing/2014/main" id="{E3CD2E84-71A4-41A6-866D-F19553F05FBF}"/>
              </a:ext>
            </a:extLst>
          </xdr:cNvPr>
          <xdr:cNvGrpSpPr>
            <a:grpSpLocks/>
          </xdr:cNvGrpSpPr>
        </xdr:nvGrpSpPr>
        <xdr:grpSpPr bwMode="auto">
          <a:xfrm flipH="1">
            <a:off x="520" y="121"/>
            <a:ext cx="8" cy="22"/>
            <a:chOff x="751" y="188"/>
            <a:chExt cx="8" cy="22"/>
          </a:xfrm>
        </xdr:grpSpPr>
        <xdr:sp macro="" textlink="">
          <xdr:nvSpPr>
            <xdr:cNvPr id="206" name="Line 655">
              <a:extLst>
                <a:ext uri="{FF2B5EF4-FFF2-40B4-BE49-F238E27FC236}">
                  <a16:creationId xmlns:a16="http://schemas.microsoft.com/office/drawing/2014/main" id="{602E386E-FEEF-4400-8669-FA1A2397CAC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3" y="202"/>
              <a:ext cx="0" cy="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7" name="Line 656">
              <a:extLst>
                <a:ext uri="{FF2B5EF4-FFF2-40B4-BE49-F238E27FC236}">
                  <a16:creationId xmlns:a16="http://schemas.microsoft.com/office/drawing/2014/main" id="{5F1C452F-FA1E-40E4-B483-791D7C8B9D3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7" y="202"/>
              <a:ext cx="0" cy="8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8" name="Line 657">
              <a:extLst>
                <a:ext uri="{FF2B5EF4-FFF2-40B4-BE49-F238E27FC236}">
                  <a16:creationId xmlns:a16="http://schemas.microsoft.com/office/drawing/2014/main" id="{F74460B4-3DAE-4626-9C05-B50E9AC7171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5" y="188"/>
              <a:ext cx="0" cy="22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9" name="Line 658">
              <a:extLst>
                <a:ext uri="{FF2B5EF4-FFF2-40B4-BE49-F238E27FC236}">
                  <a16:creationId xmlns:a16="http://schemas.microsoft.com/office/drawing/2014/main" id="{07EBABEA-F1A9-4086-94FE-9AE44102C04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1" y="188"/>
              <a:ext cx="8" cy="0"/>
            </a:xfrm>
            <a:prstGeom prst="line">
              <a:avLst/>
            </a:prstGeom>
            <a:noFill/>
            <a:ln w="1270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189" name="Group 659">
            <a:extLst>
              <a:ext uri="{FF2B5EF4-FFF2-40B4-BE49-F238E27FC236}">
                <a16:creationId xmlns:a16="http://schemas.microsoft.com/office/drawing/2014/main" id="{9F3FEE04-1E89-4E96-8BE7-CD6B713973A4}"/>
              </a:ext>
            </a:extLst>
          </xdr:cNvPr>
          <xdr:cNvGrpSpPr>
            <a:grpSpLocks/>
          </xdr:cNvGrpSpPr>
        </xdr:nvGrpSpPr>
        <xdr:grpSpPr bwMode="auto">
          <a:xfrm flipH="1">
            <a:off x="469" y="191"/>
            <a:ext cx="162" cy="34"/>
            <a:chOff x="463" y="137"/>
            <a:chExt cx="113" cy="34"/>
          </a:xfrm>
        </xdr:grpSpPr>
        <xdr:sp macro="" textlink="">
          <xdr:nvSpPr>
            <xdr:cNvPr id="201" name="Freeform 660">
              <a:extLst>
                <a:ext uri="{FF2B5EF4-FFF2-40B4-BE49-F238E27FC236}">
                  <a16:creationId xmlns:a16="http://schemas.microsoft.com/office/drawing/2014/main" id="{9BE03E50-828A-4AAF-82D1-480A72C8F516}"/>
                </a:ext>
              </a:extLst>
            </xdr:cNvPr>
            <xdr:cNvSpPr>
              <a:spLocks/>
            </xdr:cNvSpPr>
          </xdr:nvSpPr>
          <xdr:spPr bwMode="auto">
            <a:xfrm flipH="1">
              <a:off x="463" y="137"/>
              <a:ext cx="105" cy="34"/>
            </a:xfrm>
            <a:custGeom>
              <a:avLst/>
              <a:gdLst>
                <a:gd name="T0" fmla="*/ 3 w 125"/>
                <a:gd name="T1" fmla="*/ 0 h 31"/>
                <a:gd name="T2" fmla="*/ 3 w 125"/>
                <a:gd name="T3" fmla="*/ 165 h 31"/>
                <a:gd name="T4" fmla="*/ 3 w 125"/>
                <a:gd name="T5" fmla="*/ 236 h 31"/>
                <a:gd name="T6" fmla="*/ 0 w 125"/>
                <a:gd name="T7" fmla="*/ 236 h 31"/>
                <a:gd name="T8" fmla="*/ 0 w 125"/>
                <a:gd name="T9" fmla="*/ 0 h 31"/>
                <a:gd name="T10" fmla="*/ 0 60000 65536"/>
                <a:gd name="T11" fmla="*/ 0 60000 65536"/>
                <a:gd name="T12" fmla="*/ 0 60000 65536"/>
                <a:gd name="T13" fmla="*/ 0 60000 65536"/>
                <a:gd name="T14" fmla="*/ 0 60000 65536"/>
                <a:gd name="T15" fmla="*/ 0 w 125"/>
                <a:gd name="T16" fmla="*/ 0 h 31"/>
                <a:gd name="T17" fmla="*/ 125 w 125"/>
                <a:gd name="T18" fmla="*/ 31 h 31"/>
              </a:gdLst>
              <a:ahLst/>
              <a:cxnLst>
                <a:cxn ang="T10">
                  <a:pos x="T0" y="T1"/>
                </a:cxn>
                <a:cxn ang="T11">
                  <a:pos x="T2" y="T3"/>
                </a:cxn>
                <a:cxn ang="T12">
                  <a:pos x="T4" y="T5"/>
                </a:cxn>
                <a:cxn ang="T13">
                  <a:pos x="T6" y="T7"/>
                </a:cxn>
                <a:cxn ang="T14">
                  <a:pos x="T8" y="T9"/>
                </a:cxn>
              </a:cxnLst>
              <a:rect l="T15" t="T16" r="T17" b="T18"/>
              <a:pathLst>
                <a:path w="125" h="31">
                  <a:moveTo>
                    <a:pt x="125" y="0"/>
                  </a:moveTo>
                  <a:lnTo>
                    <a:pt x="125" y="22"/>
                  </a:lnTo>
                  <a:lnTo>
                    <a:pt x="10" y="31"/>
                  </a:lnTo>
                  <a:lnTo>
                    <a:pt x="0" y="31"/>
                  </a:lnTo>
                  <a:lnTo>
                    <a:pt x="0" y="0"/>
                  </a:lnTo>
                </a:path>
              </a:pathLst>
            </a:custGeom>
            <a:noFill/>
            <a:ln w="12700" cap="flat" cmpd="sng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grpSp>
          <xdr:nvGrpSpPr>
            <xdr:cNvPr id="202" name="Group 661">
              <a:extLst>
                <a:ext uri="{FF2B5EF4-FFF2-40B4-BE49-F238E27FC236}">
                  <a16:creationId xmlns:a16="http://schemas.microsoft.com/office/drawing/2014/main" id="{9957B8F6-6DB5-473D-A6D1-A098AD4CFBD7}"/>
                </a:ext>
              </a:extLst>
            </xdr:cNvPr>
            <xdr:cNvGrpSpPr>
              <a:grpSpLocks/>
            </xdr:cNvGrpSpPr>
          </xdr:nvGrpSpPr>
          <xdr:grpSpPr bwMode="auto">
            <a:xfrm flipH="1">
              <a:off x="568" y="162"/>
              <a:ext cx="8" cy="8"/>
              <a:chOff x="1486" y="409"/>
              <a:chExt cx="9" cy="8"/>
            </a:xfrm>
          </xdr:grpSpPr>
          <xdr:sp macro="" textlink="">
            <xdr:nvSpPr>
              <xdr:cNvPr id="203" name="Line 662">
                <a:extLst>
                  <a:ext uri="{FF2B5EF4-FFF2-40B4-BE49-F238E27FC236}">
                    <a16:creationId xmlns:a16="http://schemas.microsoft.com/office/drawing/2014/main" id="{210F0857-5E9E-46D2-930D-154BE0EE4925}"/>
                  </a:ext>
                </a:extLst>
              </xdr:cNvPr>
              <xdr:cNvSpPr>
                <a:spLocks noChangeShapeType="1"/>
              </xdr:cNvSpPr>
            </xdr:nvSpPr>
            <xdr:spPr bwMode="auto">
              <a:xfrm flipH="1">
                <a:off x="1488" y="413"/>
                <a:ext cx="7" cy="0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204" name="Line 663">
                <a:extLst>
                  <a:ext uri="{FF2B5EF4-FFF2-40B4-BE49-F238E27FC236}">
                    <a16:creationId xmlns:a16="http://schemas.microsoft.com/office/drawing/2014/main" id="{A675036D-F3AA-4F62-A538-3EFFCAE5F5D1}"/>
                  </a:ext>
                </a:extLst>
              </xdr:cNvPr>
              <xdr:cNvSpPr>
                <a:spLocks noChangeShapeType="1"/>
              </xdr:cNvSpPr>
            </xdr:nvSpPr>
            <xdr:spPr bwMode="auto">
              <a:xfrm>
                <a:off x="1488" y="409"/>
                <a:ext cx="0" cy="8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205" name="Line 664">
                <a:extLst>
                  <a:ext uri="{FF2B5EF4-FFF2-40B4-BE49-F238E27FC236}">
                    <a16:creationId xmlns:a16="http://schemas.microsoft.com/office/drawing/2014/main" id="{1C0C5FE2-3745-4521-9026-6DB2B8CB2B34}"/>
                  </a:ext>
                </a:extLst>
              </xdr:cNvPr>
              <xdr:cNvSpPr>
                <a:spLocks noChangeShapeType="1"/>
              </xdr:cNvSpPr>
            </xdr:nvSpPr>
            <xdr:spPr bwMode="auto">
              <a:xfrm>
                <a:off x="1486" y="409"/>
                <a:ext cx="0" cy="8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</xdr:grpSp>
      </xdr:grpSp>
      <xdr:grpSp>
        <xdr:nvGrpSpPr>
          <xdr:cNvPr id="190" name="Group 665">
            <a:extLst>
              <a:ext uri="{FF2B5EF4-FFF2-40B4-BE49-F238E27FC236}">
                <a16:creationId xmlns:a16="http://schemas.microsoft.com/office/drawing/2014/main" id="{9B7F4F30-A2CA-42E8-86AC-E936FDB3E2C7}"/>
              </a:ext>
            </a:extLst>
          </xdr:cNvPr>
          <xdr:cNvGrpSpPr>
            <a:grpSpLocks/>
          </xdr:cNvGrpSpPr>
        </xdr:nvGrpSpPr>
        <xdr:grpSpPr bwMode="auto">
          <a:xfrm flipH="1">
            <a:off x="466" y="125"/>
            <a:ext cx="153" cy="47"/>
            <a:chOff x="639" y="226"/>
            <a:chExt cx="146" cy="47"/>
          </a:xfrm>
        </xdr:grpSpPr>
        <xdr:grpSp>
          <xdr:nvGrpSpPr>
            <xdr:cNvPr id="196" name="Group 666">
              <a:extLst>
                <a:ext uri="{FF2B5EF4-FFF2-40B4-BE49-F238E27FC236}">
                  <a16:creationId xmlns:a16="http://schemas.microsoft.com/office/drawing/2014/main" id="{5052A5C7-8673-4AE8-BBDA-4B47B14A646E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639" y="265"/>
              <a:ext cx="8" cy="8"/>
              <a:chOff x="1486" y="409"/>
              <a:chExt cx="9" cy="8"/>
            </a:xfrm>
          </xdr:grpSpPr>
          <xdr:sp macro="" textlink="">
            <xdr:nvSpPr>
              <xdr:cNvPr id="198" name="Line 667">
                <a:extLst>
                  <a:ext uri="{FF2B5EF4-FFF2-40B4-BE49-F238E27FC236}">
                    <a16:creationId xmlns:a16="http://schemas.microsoft.com/office/drawing/2014/main" id="{A2245EED-1A95-45DD-A1F3-D2C04CAB26AE}"/>
                  </a:ext>
                </a:extLst>
              </xdr:cNvPr>
              <xdr:cNvSpPr>
                <a:spLocks noChangeShapeType="1"/>
              </xdr:cNvSpPr>
            </xdr:nvSpPr>
            <xdr:spPr bwMode="auto">
              <a:xfrm flipH="1">
                <a:off x="1488" y="413"/>
                <a:ext cx="7" cy="0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199" name="Line 668">
                <a:extLst>
                  <a:ext uri="{FF2B5EF4-FFF2-40B4-BE49-F238E27FC236}">
                    <a16:creationId xmlns:a16="http://schemas.microsoft.com/office/drawing/2014/main" id="{6BC074EA-82AB-436D-A43D-5C0C5C331FF0}"/>
                  </a:ext>
                </a:extLst>
              </xdr:cNvPr>
              <xdr:cNvSpPr>
                <a:spLocks noChangeShapeType="1"/>
              </xdr:cNvSpPr>
            </xdr:nvSpPr>
            <xdr:spPr bwMode="auto">
              <a:xfrm>
                <a:off x="1488" y="409"/>
                <a:ext cx="0" cy="8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200" name="Line 669">
                <a:extLst>
                  <a:ext uri="{FF2B5EF4-FFF2-40B4-BE49-F238E27FC236}">
                    <a16:creationId xmlns:a16="http://schemas.microsoft.com/office/drawing/2014/main" id="{49D1D4BC-1334-4746-8F73-6C48105FF76D}"/>
                  </a:ext>
                </a:extLst>
              </xdr:cNvPr>
              <xdr:cNvSpPr>
                <a:spLocks noChangeShapeType="1"/>
              </xdr:cNvSpPr>
            </xdr:nvSpPr>
            <xdr:spPr bwMode="auto">
              <a:xfrm>
                <a:off x="1486" y="409"/>
                <a:ext cx="0" cy="8"/>
              </a:xfrm>
              <a:prstGeom prst="line">
                <a:avLst/>
              </a:prstGeom>
              <a:noFill/>
              <a:ln w="12700">
                <a:solidFill>
                  <a:srgbClr val="000000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</xdr:grpSp>
        <xdr:sp macro="" textlink="">
          <xdr:nvSpPr>
            <xdr:cNvPr id="197" name="Freeform 670">
              <a:extLst>
                <a:ext uri="{FF2B5EF4-FFF2-40B4-BE49-F238E27FC236}">
                  <a16:creationId xmlns:a16="http://schemas.microsoft.com/office/drawing/2014/main" id="{BB26F4EB-7DA8-4571-B723-F26B1427D0DE}"/>
                </a:ext>
              </a:extLst>
            </xdr:cNvPr>
            <xdr:cNvSpPr>
              <a:spLocks/>
            </xdr:cNvSpPr>
          </xdr:nvSpPr>
          <xdr:spPr bwMode="auto">
            <a:xfrm flipH="1">
              <a:off x="648" y="226"/>
              <a:ext cx="137" cy="45"/>
            </a:xfrm>
            <a:custGeom>
              <a:avLst/>
              <a:gdLst>
                <a:gd name="T0" fmla="*/ 0 w 155"/>
                <a:gd name="T1" fmla="*/ 0 h 45"/>
                <a:gd name="T2" fmla="*/ 0 w 155"/>
                <a:gd name="T3" fmla="*/ 26 h 45"/>
                <a:gd name="T4" fmla="*/ 10 w 155"/>
                <a:gd name="T5" fmla="*/ 45 h 45"/>
                <a:gd name="T6" fmla="*/ 10 w 155"/>
                <a:gd name="T7" fmla="*/ 45 h 45"/>
                <a:gd name="T8" fmla="*/ 10 w 155"/>
                <a:gd name="T9" fmla="*/ 0 h 45"/>
                <a:gd name="T10" fmla="*/ 0 60000 65536"/>
                <a:gd name="T11" fmla="*/ 0 60000 65536"/>
                <a:gd name="T12" fmla="*/ 0 60000 65536"/>
                <a:gd name="T13" fmla="*/ 0 60000 65536"/>
                <a:gd name="T14" fmla="*/ 0 60000 65536"/>
                <a:gd name="T15" fmla="*/ 0 w 155"/>
                <a:gd name="T16" fmla="*/ 0 h 45"/>
                <a:gd name="T17" fmla="*/ 155 w 155"/>
                <a:gd name="T18" fmla="*/ 45 h 45"/>
              </a:gdLst>
              <a:ahLst/>
              <a:cxnLst>
                <a:cxn ang="T10">
                  <a:pos x="T0" y="T1"/>
                </a:cxn>
                <a:cxn ang="T11">
                  <a:pos x="T2" y="T3"/>
                </a:cxn>
                <a:cxn ang="T12">
                  <a:pos x="T4" y="T5"/>
                </a:cxn>
                <a:cxn ang="T13">
                  <a:pos x="T6" y="T7"/>
                </a:cxn>
                <a:cxn ang="T14">
                  <a:pos x="T8" y="T9"/>
                </a:cxn>
              </a:cxnLst>
              <a:rect l="T15" t="T16" r="T17" b="T18"/>
              <a:pathLst>
                <a:path w="155" h="45">
                  <a:moveTo>
                    <a:pt x="0" y="0"/>
                  </a:moveTo>
                  <a:lnTo>
                    <a:pt x="0" y="26"/>
                  </a:lnTo>
                  <a:lnTo>
                    <a:pt x="145" y="45"/>
                  </a:lnTo>
                  <a:lnTo>
                    <a:pt x="155" y="45"/>
                  </a:lnTo>
                  <a:lnTo>
                    <a:pt x="155" y="0"/>
                  </a:lnTo>
                </a:path>
              </a:pathLst>
            </a:custGeom>
            <a:noFill/>
            <a:ln w="12700" cap="flat" cmpd="sng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</xdr:grpSp>
      <xdr:sp macro="" textlink="">
        <xdr:nvSpPr>
          <xdr:cNvPr id="191" name="Freeform 671">
            <a:extLst>
              <a:ext uri="{FF2B5EF4-FFF2-40B4-BE49-F238E27FC236}">
                <a16:creationId xmlns:a16="http://schemas.microsoft.com/office/drawing/2014/main" id="{A8AB076F-DB0A-4DC1-8CA8-00FB846B3FBA}"/>
              </a:ext>
            </a:extLst>
          </xdr:cNvPr>
          <xdr:cNvSpPr>
            <a:spLocks/>
          </xdr:cNvSpPr>
        </xdr:nvSpPr>
        <xdr:spPr bwMode="auto">
          <a:xfrm flipH="1">
            <a:off x="483" y="113"/>
            <a:ext cx="19" cy="31"/>
          </a:xfrm>
          <a:custGeom>
            <a:avLst/>
            <a:gdLst>
              <a:gd name="T0" fmla="*/ 0 w 26"/>
              <a:gd name="T1" fmla="*/ 14 h 31"/>
              <a:gd name="T2" fmla="*/ 0 w 26"/>
              <a:gd name="T3" fmla="*/ 5 h 31"/>
              <a:gd name="T4" fmla="*/ 1 w 26"/>
              <a:gd name="T5" fmla="*/ 1 h 31"/>
              <a:gd name="T6" fmla="*/ 1 w 26"/>
              <a:gd name="T7" fmla="*/ 0 h 31"/>
              <a:gd name="T8" fmla="*/ 1 w 26"/>
              <a:gd name="T9" fmla="*/ 0 h 31"/>
              <a:gd name="T10" fmla="*/ 1 w 26"/>
              <a:gd name="T11" fmla="*/ 2 h 31"/>
              <a:gd name="T12" fmla="*/ 1 w 26"/>
              <a:gd name="T13" fmla="*/ 7 h 31"/>
              <a:gd name="T14" fmla="*/ 1 w 26"/>
              <a:gd name="T15" fmla="*/ 31 h 31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w 26"/>
              <a:gd name="T25" fmla="*/ 0 h 31"/>
              <a:gd name="T26" fmla="*/ 26 w 26"/>
              <a:gd name="T27" fmla="*/ 31 h 31"/>
            </a:gdLst>
            <a:ahLst/>
            <a:cxnLst>
              <a:cxn ang="T16">
                <a:pos x="T0" y="T1"/>
              </a:cxn>
              <a:cxn ang="T17">
                <a:pos x="T2" y="T3"/>
              </a:cxn>
              <a:cxn ang="T18">
                <a:pos x="T4" y="T5"/>
              </a:cxn>
              <a:cxn ang="T19">
                <a:pos x="T6" y="T7"/>
              </a:cxn>
              <a:cxn ang="T20">
                <a:pos x="T8" y="T9"/>
              </a:cxn>
              <a:cxn ang="T21">
                <a:pos x="T10" y="T11"/>
              </a:cxn>
              <a:cxn ang="T22">
                <a:pos x="T12" y="T13"/>
              </a:cxn>
              <a:cxn ang="T23">
                <a:pos x="T14" y="T15"/>
              </a:cxn>
            </a:cxnLst>
            <a:rect l="T24" t="T25" r="T26" b="T27"/>
            <a:pathLst>
              <a:path w="26" h="31">
                <a:moveTo>
                  <a:pt x="0" y="14"/>
                </a:moveTo>
                <a:lnTo>
                  <a:pt x="0" y="5"/>
                </a:lnTo>
                <a:lnTo>
                  <a:pt x="2" y="1"/>
                </a:lnTo>
                <a:lnTo>
                  <a:pt x="6" y="0"/>
                </a:lnTo>
                <a:lnTo>
                  <a:pt x="21" y="0"/>
                </a:lnTo>
                <a:lnTo>
                  <a:pt x="25" y="2"/>
                </a:lnTo>
                <a:lnTo>
                  <a:pt x="26" y="7"/>
                </a:lnTo>
                <a:lnTo>
                  <a:pt x="26" y="31"/>
                </a:lnTo>
              </a:path>
            </a:pathLst>
          </a:custGeom>
          <a:noFill/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92" name="Freeform 672">
            <a:extLst>
              <a:ext uri="{FF2B5EF4-FFF2-40B4-BE49-F238E27FC236}">
                <a16:creationId xmlns:a16="http://schemas.microsoft.com/office/drawing/2014/main" id="{9A609C72-2BCB-454E-882B-B701CAAAD9F6}"/>
              </a:ext>
            </a:extLst>
          </xdr:cNvPr>
          <xdr:cNvSpPr>
            <a:spLocks/>
          </xdr:cNvSpPr>
        </xdr:nvSpPr>
        <xdr:spPr bwMode="auto">
          <a:xfrm>
            <a:off x="576" y="113"/>
            <a:ext cx="19" cy="31"/>
          </a:xfrm>
          <a:custGeom>
            <a:avLst/>
            <a:gdLst>
              <a:gd name="T0" fmla="*/ 0 w 26"/>
              <a:gd name="T1" fmla="*/ 14 h 31"/>
              <a:gd name="T2" fmla="*/ 0 w 26"/>
              <a:gd name="T3" fmla="*/ 5 h 31"/>
              <a:gd name="T4" fmla="*/ 1 w 26"/>
              <a:gd name="T5" fmla="*/ 1 h 31"/>
              <a:gd name="T6" fmla="*/ 1 w 26"/>
              <a:gd name="T7" fmla="*/ 0 h 31"/>
              <a:gd name="T8" fmla="*/ 1 w 26"/>
              <a:gd name="T9" fmla="*/ 0 h 31"/>
              <a:gd name="T10" fmla="*/ 1 w 26"/>
              <a:gd name="T11" fmla="*/ 2 h 31"/>
              <a:gd name="T12" fmla="*/ 1 w 26"/>
              <a:gd name="T13" fmla="*/ 7 h 31"/>
              <a:gd name="T14" fmla="*/ 1 w 26"/>
              <a:gd name="T15" fmla="*/ 31 h 31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w 26"/>
              <a:gd name="T25" fmla="*/ 0 h 31"/>
              <a:gd name="T26" fmla="*/ 26 w 26"/>
              <a:gd name="T27" fmla="*/ 31 h 31"/>
            </a:gdLst>
            <a:ahLst/>
            <a:cxnLst>
              <a:cxn ang="T16">
                <a:pos x="T0" y="T1"/>
              </a:cxn>
              <a:cxn ang="T17">
                <a:pos x="T2" y="T3"/>
              </a:cxn>
              <a:cxn ang="T18">
                <a:pos x="T4" y="T5"/>
              </a:cxn>
              <a:cxn ang="T19">
                <a:pos x="T6" y="T7"/>
              </a:cxn>
              <a:cxn ang="T20">
                <a:pos x="T8" y="T9"/>
              </a:cxn>
              <a:cxn ang="T21">
                <a:pos x="T10" y="T11"/>
              </a:cxn>
              <a:cxn ang="T22">
                <a:pos x="T12" y="T13"/>
              </a:cxn>
              <a:cxn ang="T23">
                <a:pos x="T14" y="T15"/>
              </a:cxn>
            </a:cxnLst>
            <a:rect l="T24" t="T25" r="T26" b="T27"/>
            <a:pathLst>
              <a:path w="26" h="31">
                <a:moveTo>
                  <a:pt x="0" y="14"/>
                </a:moveTo>
                <a:lnTo>
                  <a:pt x="0" y="5"/>
                </a:lnTo>
                <a:lnTo>
                  <a:pt x="2" y="1"/>
                </a:lnTo>
                <a:lnTo>
                  <a:pt x="6" y="0"/>
                </a:lnTo>
                <a:lnTo>
                  <a:pt x="21" y="0"/>
                </a:lnTo>
                <a:lnTo>
                  <a:pt x="25" y="2"/>
                </a:lnTo>
                <a:lnTo>
                  <a:pt x="26" y="7"/>
                </a:lnTo>
                <a:lnTo>
                  <a:pt x="26" y="31"/>
                </a:lnTo>
              </a:path>
            </a:pathLst>
          </a:custGeom>
          <a:noFill/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93" name="Line 673">
            <a:extLst>
              <a:ext uri="{FF2B5EF4-FFF2-40B4-BE49-F238E27FC236}">
                <a16:creationId xmlns:a16="http://schemas.microsoft.com/office/drawing/2014/main" id="{D581BDA0-5842-4B85-9B03-827818CE9CDD}"/>
              </a:ext>
            </a:extLst>
          </xdr:cNvPr>
          <xdr:cNvSpPr>
            <a:spLocks noChangeShapeType="1"/>
          </xdr:cNvSpPr>
        </xdr:nvSpPr>
        <xdr:spPr bwMode="auto">
          <a:xfrm flipH="1">
            <a:off x="576" y="195"/>
            <a:ext cx="0" cy="15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94" name="Rectangle 674">
            <a:extLst>
              <a:ext uri="{FF2B5EF4-FFF2-40B4-BE49-F238E27FC236}">
                <a16:creationId xmlns:a16="http://schemas.microsoft.com/office/drawing/2014/main" id="{FCE679AD-59C5-4FC4-B91F-2E8F8F1A9278}"/>
              </a:ext>
            </a:extLst>
          </xdr:cNvPr>
          <xdr:cNvSpPr>
            <a:spLocks noChangeArrowheads="1"/>
          </xdr:cNvSpPr>
        </xdr:nvSpPr>
        <xdr:spPr bwMode="auto">
          <a:xfrm>
            <a:off x="520" y="109"/>
            <a:ext cx="8" cy="17"/>
          </a:xfrm>
          <a:prstGeom prst="rect">
            <a:avLst/>
          </a:prstGeom>
          <a:noFill/>
          <a:ln w="12700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95" name="Rectangle 675">
            <a:extLst>
              <a:ext uri="{FF2B5EF4-FFF2-40B4-BE49-F238E27FC236}">
                <a16:creationId xmlns:a16="http://schemas.microsoft.com/office/drawing/2014/main" id="{EE0CC79C-6740-42BE-BF4D-E0DEFFA6D7FB}"/>
              </a:ext>
            </a:extLst>
          </xdr:cNvPr>
          <xdr:cNvSpPr>
            <a:spLocks noChangeArrowheads="1"/>
          </xdr:cNvSpPr>
        </xdr:nvSpPr>
        <xdr:spPr bwMode="auto">
          <a:xfrm>
            <a:off x="551" y="109"/>
            <a:ext cx="8" cy="17"/>
          </a:xfrm>
          <a:prstGeom prst="rect">
            <a:avLst/>
          </a:prstGeom>
          <a:noFill/>
          <a:ln w="12700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</xdr:grpSp>
    <xdr:clientData/>
  </xdr:twoCellAnchor>
  <xdr:twoCellAnchor>
    <xdr:from>
      <xdr:col>21</xdr:col>
      <xdr:colOff>89646</xdr:colOff>
      <xdr:row>15</xdr:row>
      <xdr:rowOff>112054</xdr:rowOff>
    </xdr:from>
    <xdr:to>
      <xdr:col>25</xdr:col>
      <xdr:colOff>428881</xdr:colOff>
      <xdr:row>20</xdr:row>
      <xdr:rowOff>120204</xdr:rowOff>
    </xdr:to>
    <xdr:grpSp>
      <xdr:nvGrpSpPr>
        <xdr:cNvPr id="282" name="Group 281">
          <a:extLst>
            <a:ext uri="{FF2B5EF4-FFF2-40B4-BE49-F238E27FC236}">
              <a16:creationId xmlns:a16="http://schemas.microsoft.com/office/drawing/2014/main" id="{8C5D51FE-7CCD-45FB-ADF3-CD1475BD3B06}"/>
            </a:ext>
          </a:extLst>
        </xdr:cNvPr>
        <xdr:cNvGrpSpPr/>
      </xdr:nvGrpSpPr>
      <xdr:grpSpPr>
        <a:xfrm>
          <a:off x="9686084" y="2993367"/>
          <a:ext cx="2172797" cy="960650"/>
          <a:chOff x="14127965" y="7649181"/>
          <a:chExt cx="2246752" cy="964318"/>
        </a:xfrm>
      </xdr:grpSpPr>
      <xdr:sp macro="" textlink="">
        <xdr:nvSpPr>
          <xdr:cNvPr id="283" name="Freeform 2287">
            <a:extLst>
              <a:ext uri="{FF2B5EF4-FFF2-40B4-BE49-F238E27FC236}">
                <a16:creationId xmlns:a16="http://schemas.microsoft.com/office/drawing/2014/main" id="{D131F84E-63ED-43BD-B213-21A9E291D63B}"/>
              </a:ext>
            </a:extLst>
          </xdr:cNvPr>
          <xdr:cNvSpPr>
            <a:spLocks/>
          </xdr:cNvSpPr>
        </xdr:nvSpPr>
        <xdr:spPr bwMode="auto">
          <a:xfrm flipH="1">
            <a:off x="15816428" y="7808692"/>
            <a:ext cx="558289" cy="413279"/>
          </a:xfrm>
          <a:custGeom>
            <a:avLst/>
            <a:gdLst>
              <a:gd name="T0" fmla="*/ 0 w 77"/>
              <a:gd name="T1" fmla="*/ 0 h 51"/>
              <a:gd name="T2" fmla="*/ 61 w 77"/>
              <a:gd name="T3" fmla="*/ 0 h 51"/>
              <a:gd name="T4" fmla="*/ 61 w 77"/>
              <a:gd name="T5" fmla="*/ 49 h 51"/>
              <a:gd name="T6" fmla="*/ 77 w 77"/>
              <a:gd name="T7" fmla="*/ 78 h 51"/>
              <a:gd name="T8" fmla="*/ 77 w 77"/>
              <a:gd name="T9" fmla="*/ 139 h 51"/>
              <a:gd name="T10" fmla="*/ 0 w 77"/>
              <a:gd name="T11" fmla="*/ 39 h 51"/>
              <a:gd name="T12" fmla="*/ 0 w 77"/>
              <a:gd name="T13" fmla="*/ 0 h 5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77"/>
              <a:gd name="T22" fmla="*/ 0 h 51"/>
              <a:gd name="T23" fmla="*/ 77 w 77"/>
              <a:gd name="T24" fmla="*/ 51 h 5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77" h="51">
                <a:moveTo>
                  <a:pt x="0" y="0"/>
                </a:moveTo>
                <a:lnTo>
                  <a:pt x="61" y="0"/>
                </a:lnTo>
                <a:lnTo>
                  <a:pt x="61" y="18"/>
                </a:lnTo>
                <a:lnTo>
                  <a:pt x="77" y="29"/>
                </a:lnTo>
                <a:lnTo>
                  <a:pt x="77" y="51"/>
                </a:lnTo>
                <a:lnTo>
                  <a:pt x="0" y="14"/>
                </a:lnTo>
                <a:lnTo>
                  <a:pt x="0" y="0"/>
                </a:lnTo>
                <a:close/>
              </a:path>
            </a:pathLst>
          </a:custGeom>
          <a:noFill/>
          <a:ln w="12700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grpSp>
        <xdr:nvGrpSpPr>
          <xdr:cNvPr id="284" name="Group 2288">
            <a:extLst>
              <a:ext uri="{FF2B5EF4-FFF2-40B4-BE49-F238E27FC236}">
                <a16:creationId xmlns:a16="http://schemas.microsoft.com/office/drawing/2014/main" id="{EE5304BA-3DED-491A-AEDF-6563BF30A33F}"/>
              </a:ext>
            </a:extLst>
          </xdr:cNvPr>
          <xdr:cNvGrpSpPr>
            <a:grpSpLocks/>
          </xdr:cNvGrpSpPr>
        </xdr:nvGrpSpPr>
        <xdr:grpSpPr bwMode="auto">
          <a:xfrm>
            <a:off x="14127965" y="7786941"/>
            <a:ext cx="1690527" cy="703300"/>
            <a:chOff x="924" y="329"/>
            <a:chExt cx="211" cy="108"/>
          </a:xfrm>
        </xdr:grpSpPr>
        <xdr:sp macro="" textlink="">
          <xdr:nvSpPr>
            <xdr:cNvPr id="292" name="Rectangle 2289" descr="Small grid">
              <a:extLst>
                <a:ext uri="{FF2B5EF4-FFF2-40B4-BE49-F238E27FC236}">
                  <a16:creationId xmlns:a16="http://schemas.microsoft.com/office/drawing/2014/main" id="{E4AEE956-9FDB-46EC-B15E-E5E510E7931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24" y="367"/>
              <a:ext cx="34" cy="25"/>
            </a:xfrm>
            <a:prstGeom prst="rect">
              <a:avLst/>
            </a:prstGeom>
            <a:pattFill prst="smGrid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93" name="Freeform 2290">
              <a:extLst>
                <a:ext uri="{FF2B5EF4-FFF2-40B4-BE49-F238E27FC236}">
                  <a16:creationId xmlns:a16="http://schemas.microsoft.com/office/drawing/2014/main" id="{D794ADED-7CE6-47D6-AC76-E89D5EAB0CE4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1101" y="334"/>
              <a:ext cx="14" cy="98"/>
            </a:xfrm>
            <a:custGeom>
              <a:avLst/>
              <a:gdLst>
                <a:gd name="T0" fmla="*/ 4 w 16"/>
                <a:gd name="T1" fmla="*/ 0 h 98"/>
                <a:gd name="T2" fmla="*/ 0 w 16"/>
                <a:gd name="T3" fmla="*/ 25 h 98"/>
                <a:gd name="T4" fmla="*/ 0 w 16"/>
                <a:gd name="T5" fmla="*/ 72 h 98"/>
                <a:gd name="T6" fmla="*/ 4 w 16"/>
                <a:gd name="T7" fmla="*/ 98 h 98"/>
                <a:gd name="T8" fmla="*/ 4 w 16"/>
                <a:gd name="T9" fmla="*/ 0 h 98"/>
                <a:gd name="T10" fmla="*/ 0 60000 65536"/>
                <a:gd name="T11" fmla="*/ 0 60000 65536"/>
                <a:gd name="T12" fmla="*/ 0 60000 65536"/>
                <a:gd name="T13" fmla="*/ 0 60000 65536"/>
                <a:gd name="T14" fmla="*/ 0 60000 65536"/>
                <a:gd name="T15" fmla="*/ 0 w 16"/>
                <a:gd name="T16" fmla="*/ 0 h 98"/>
                <a:gd name="T17" fmla="*/ 16 w 16"/>
                <a:gd name="T18" fmla="*/ 98 h 98"/>
              </a:gdLst>
              <a:ahLst/>
              <a:cxnLst>
                <a:cxn ang="T10">
                  <a:pos x="T0" y="T1"/>
                </a:cxn>
                <a:cxn ang="T11">
                  <a:pos x="T2" y="T3"/>
                </a:cxn>
                <a:cxn ang="T12">
                  <a:pos x="T4" y="T5"/>
                </a:cxn>
                <a:cxn ang="T13">
                  <a:pos x="T6" y="T7"/>
                </a:cxn>
                <a:cxn ang="T14">
                  <a:pos x="T8" y="T9"/>
                </a:cxn>
              </a:cxnLst>
              <a:rect l="T15" t="T16" r="T17" b="T18"/>
              <a:pathLst>
                <a:path w="16" h="98">
                  <a:moveTo>
                    <a:pt x="16" y="0"/>
                  </a:moveTo>
                  <a:lnTo>
                    <a:pt x="0" y="25"/>
                  </a:lnTo>
                  <a:lnTo>
                    <a:pt x="0" y="72"/>
                  </a:lnTo>
                  <a:lnTo>
                    <a:pt x="16" y="98"/>
                  </a:lnTo>
                  <a:lnTo>
                    <a:pt x="16" y="0"/>
                  </a:lnTo>
                  <a:close/>
                </a:path>
              </a:pathLst>
            </a:custGeom>
            <a:noFill/>
            <a:ln w="12700" cap="flat" cmpd="sng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294" name="Rectangle 2291">
              <a:extLst>
                <a:ext uri="{FF2B5EF4-FFF2-40B4-BE49-F238E27FC236}">
                  <a16:creationId xmlns:a16="http://schemas.microsoft.com/office/drawing/2014/main" id="{16FE3FD9-EA50-4336-A2D2-7E83F8B9941B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 flipH="1">
              <a:off x="996" y="332"/>
              <a:ext cx="108" cy="101"/>
            </a:xfrm>
            <a:prstGeom prst="rect">
              <a:avLst/>
            </a:prstGeom>
            <a:noFill/>
            <a:ln w="12700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295" name="Freeform 2292">
              <a:extLst>
                <a:ext uri="{FF2B5EF4-FFF2-40B4-BE49-F238E27FC236}">
                  <a16:creationId xmlns:a16="http://schemas.microsoft.com/office/drawing/2014/main" id="{CF1983C9-3E3B-4174-A95F-77F8DFA50620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977" y="335"/>
              <a:ext cx="16" cy="97"/>
            </a:xfrm>
            <a:custGeom>
              <a:avLst/>
              <a:gdLst>
                <a:gd name="T0" fmla="*/ 0 w 16"/>
                <a:gd name="T1" fmla="*/ 0 h 96"/>
                <a:gd name="T2" fmla="*/ 16 w 16"/>
                <a:gd name="T3" fmla="*/ 24 h 96"/>
                <a:gd name="T4" fmla="*/ 16 w 16"/>
                <a:gd name="T5" fmla="*/ 79 h 96"/>
                <a:gd name="T6" fmla="*/ 0 w 16"/>
                <a:gd name="T7" fmla="*/ 105 h 96"/>
                <a:gd name="T8" fmla="*/ 0 w 16"/>
                <a:gd name="T9" fmla="*/ 0 h 96"/>
                <a:gd name="T10" fmla="*/ 0 60000 65536"/>
                <a:gd name="T11" fmla="*/ 0 60000 65536"/>
                <a:gd name="T12" fmla="*/ 0 60000 65536"/>
                <a:gd name="T13" fmla="*/ 0 60000 65536"/>
                <a:gd name="T14" fmla="*/ 0 60000 65536"/>
                <a:gd name="T15" fmla="*/ 0 w 16"/>
                <a:gd name="T16" fmla="*/ 0 h 96"/>
                <a:gd name="T17" fmla="*/ 16 w 16"/>
                <a:gd name="T18" fmla="*/ 96 h 96"/>
              </a:gdLst>
              <a:ahLst/>
              <a:cxnLst>
                <a:cxn ang="T10">
                  <a:pos x="T0" y="T1"/>
                </a:cxn>
                <a:cxn ang="T11">
                  <a:pos x="T2" y="T3"/>
                </a:cxn>
                <a:cxn ang="T12">
                  <a:pos x="T4" y="T5"/>
                </a:cxn>
                <a:cxn ang="T13">
                  <a:pos x="T6" y="T7"/>
                </a:cxn>
                <a:cxn ang="T14">
                  <a:pos x="T8" y="T9"/>
                </a:cxn>
              </a:cxnLst>
              <a:rect l="T15" t="T16" r="T17" b="T18"/>
              <a:pathLst>
                <a:path w="16" h="96">
                  <a:moveTo>
                    <a:pt x="0" y="0"/>
                  </a:moveTo>
                  <a:lnTo>
                    <a:pt x="16" y="24"/>
                  </a:lnTo>
                  <a:lnTo>
                    <a:pt x="16" y="70"/>
                  </a:lnTo>
                  <a:lnTo>
                    <a:pt x="0" y="96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12700" cap="flat" cmpd="sng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296" name="Rectangle 2293">
              <a:extLst>
                <a:ext uri="{FF2B5EF4-FFF2-40B4-BE49-F238E27FC236}">
                  <a16:creationId xmlns:a16="http://schemas.microsoft.com/office/drawing/2014/main" id="{7075111D-92CF-462C-887C-E0037C15988C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993" y="329"/>
              <a:ext cx="3" cy="108"/>
            </a:xfrm>
            <a:prstGeom prst="rect">
              <a:avLst/>
            </a:prstGeom>
            <a:solidFill>
              <a:srgbClr val="FFFFFF"/>
            </a:solidFill>
            <a:ln w="12700" algn="ctr">
              <a:solidFill>
                <a:srgbClr val="000000"/>
              </a:solidFill>
              <a:miter lim="800000"/>
              <a:headEnd/>
              <a:tailEnd/>
            </a:ln>
          </xdr:spPr>
        </xdr:sp>
        <xdr:grpSp>
          <xdr:nvGrpSpPr>
            <xdr:cNvPr id="297" name="Group 2294">
              <a:extLst>
                <a:ext uri="{FF2B5EF4-FFF2-40B4-BE49-F238E27FC236}">
                  <a16:creationId xmlns:a16="http://schemas.microsoft.com/office/drawing/2014/main" id="{E5519360-EA91-42DB-9EFD-8CC21D2D7EB8}"/>
                </a:ext>
              </a:extLst>
            </xdr:cNvPr>
            <xdr:cNvGrpSpPr>
              <a:grpSpLocks noChangeAspect="1"/>
            </xdr:cNvGrpSpPr>
          </xdr:nvGrpSpPr>
          <xdr:grpSpPr bwMode="auto">
            <a:xfrm flipH="1">
              <a:off x="1116" y="360"/>
              <a:ext cx="19" cy="44"/>
              <a:chOff x="311" y="549"/>
              <a:chExt cx="19" cy="43"/>
            </a:xfrm>
          </xdr:grpSpPr>
          <xdr:sp macro="" textlink="">
            <xdr:nvSpPr>
              <xdr:cNvPr id="302" name="Rectangle 2295">
                <a:extLst>
                  <a:ext uri="{FF2B5EF4-FFF2-40B4-BE49-F238E27FC236}">
                    <a16:creationId xmlns:a16="http://schemas.microsoft.com/office/drawing/2014/main" id="{3D6CD7EE-F492-4F8D-82EF-83FC04F8452B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314" y="551"/>
                <a:ext cx="16" cy="39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  <xdr:sp macro="" textlink="">
            <xdr:nvSpPr>
              <xdr:cNvPr id="303" name="Rectangle 2296">
                <a:extLst>
                  <a:ext uri="{FF2B5EF4-FFF2-40B4-BE49-F238E27FC236}">
                    <a16:creationId xmlns:a16="http://schemas.microsoft.com/office/drawing/2014/main" id="{D6CEEE62-AA91-4E4B-95C1-7B8FA7E47D89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311" y="549"/>
                <a:ext cx="3" cy="43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  <xdr:sp macro="" textlink="">
            <xdr:nvSpPr>
              <xdr:cNvPr id="304" name="Rectangle 2297">
                <a:extLst>
                  <a:ext uri="{FF2B5EF4-FFF2-40B4-BE49-F238E27FC236}">
                    <a16:creationId xmlns:a16="http://schemas.microsoft.com/office/drawing/2014/main" id="{FD1D3F9F-439E-426A-BF8A-40232A0E9ECA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329" y="549"/>
                <a:ext cx="1" cy="43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</xdr:grpSp>
        <xdr:grpSp>
          <xdr:nvGrpSpPr>
            <xdr:cNvPr id="298" name="Group 2298">
              <a:extLst>
                <a:ext uri="{FF2B5EF4-FFF2-40B4-BE49-F238E27FC236}">
                  <a16:creationId xmlns:a16="http://schemas.microsoft.com/office/drawing/2014/main" id="{2843BAFD-AFAC-4175-A572-984537A65DA8}"/>
                </a:ext>
              </a:extLst>
            </xdr:cNvPr>
            <xdr:cNvGrpSpPr>
              <a:grpSpLocks noChangeAspect="1"/>
            </xdr:cNvGrpSpPr>
          </xdr:nvGrpSpPr>
          <xdr:grpSpPr bwMode="auto">
            <a:xfrm flipH="1">
              <a:off x="958" y="360"/>
              <a:ext cx="19" cy="44"/>
              <a:chOff x="423" y="549"/>
              <a:chExt cx="19" cy="43"/>
            </a:xfrm>
          </xdr:grpSpPr>
          <xdr:sp macro="" textlink="">
            <xdr:nvSpPr>
              <xdr:cNvPr id="299" name="Rectangle 2299">
                <a:extLst>
                  <a:ext uri="{FF2B5EF4-FFF2-40B4-BE49-F238E27FC236}">
                    <a16:creationId xmlns:a16="http://schemas.microsoft.com/office/drawing/2014/main" id="{1047DA2C-3558-4203-8B0E-E1A4AE3BC672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 flipH="1">
                <a:off x="423" y="551"/>
                <a:ext cx="16" cy="39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  <xdr:sp macro="" textlink="">
            <xdr:nvSpPr>
              <xdr:cNvPr id="300" name="Rectangle 2300">
                <a:extLst>
                  <a:ext uri="{FF2B5EF4-FFF2-40B4-BE49-F238E27FC236}">
                    <a16:creationId xmlns:a16="http://schemas.microsoft.com/office/drawing/2014/main" id="{06A665A1-123C-4AA9-82A8-54C60918D6B1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 flipH="1">
                <a:off x="439" y="549"/>
                <a:ext cx="3" cy="43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  <xdr:sp macro="" textlink="">
            <xdr:nvSpPr>
              <xdr:cNvPr id="301" name="Rectangle 2301">
                <a:extLst>
                  <a:ext uri="{FF2B5EF4-FFF2-40B4-BE49-F238E27FC236}">
                    <a16:creationId xmlns:a16="http://schemas.microsoft.com/office/drawing/2014/main" id="{06152AA7-F516-45A5-B132-CE1C0A000077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423" y="549"/>
                <a:ext cx="1" cy="43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</xdr:grpSp>
      </xdr:grpSp>
      <xdr:grpSp>
        <xdr:nvGrpSpPr>
          <xdr:cNvPr id="285" name="Group 2302">
            <a:extLst>
              <a:ext uri="{FF2B5EF4-FFF2-40B4-BE49-F238E27FC236}">
                <a16:creationId xmlns:a16="http://schemas.microsoft.com/office/drawing/2014/main" id="{6BFDDF11-A01E-44A8-8FE6-BA6C3C7653B1}"/>
              </a:ext>
            </a:extLst>
          </xdr:cNvPr>
          <xdr:cNvGrpSpPr>
            <a:grpSpLocks/>
          </xdr:cNvGrpSpPr>
        </xdr:nvGrpSpPr>
        <xdr:grpSpPr bwMode="auto">
          <a:xfrm>
            <a:off x="15412464" y="7649181"/>
            <a:ext cx="159511" cy="964318"/>
            <a:chOff x="1042" y="311"/>
            <a:chExt cx="19" cy="144"/>
          </a:xfrm>
        </xdr:grpSpPr>
        <xdr:sp macro="" textlink="">
          <xdr:nvSpPr>
            <xdr:cNvPr id="286" name="Rectangle 2303">
              <a:extLst>
                <a:ext uri="{FF2B5EF4-FFF2-40B4-BE49-F238E27FC236}">
                  <a16:creationId xmlns:a16="http://schemas.microsoft.com/office/drawing/2014/main" id="{28CF9A74-C705-4A4D-860D-638569E92D57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 flipH="1">
              <a:off x="1042" y="311"/>
              <a:ext cx="19" cy="144"/>
            </a:xfrm>
            <a:prstGeom prst="rect">
              <a:avLst/>
            </a:prstGeom>
            <a:noFill/>
            <a:ln w="12700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287" name="Rectangle 2304">
              <a:extLst>
                <a:ext uri="{FF2B5EF4-FFF2-40B4-BE49-F238E27FC236}">
                  <a16:creationId xmlns:a16="http://schemas.microsoft.com/office/drawing/2014/main" id="{0B3B374D-8591-4F22-AC37-4E768EDC4862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1047" y="314"/>
              <a:ext cx="11" cy="8"/>
            </a:xfrm>
            <a:prstGeom prst="rect">
              <a:avLst/>
            </a:prstGeom>
            <a:noFill/>
            <a:ln w="12700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288" name="Rectangle 2305">
              <a:extLst>
                <a:ext uri="{FF2B5EF4-FFF2-40B4-BE49-F238E27FC236}">
                  <a16:creationId xmlns:a16="http://schemas.microsoft.com/office/drawing/2014/main" id="{BFDDA043-3A00-499D-B692-7A41F07A5F23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1047" y="324"/>
              <a:ext cx="11" cy="5"/>
            </a:xfrm>
            <a:prstGeom prst="rect">
              <a:avLst/>
            </a:prstGeom>
            <a:noFill/>
            <a:ln w="12700" algn="ctr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289" name="Rectangle 2306">
              <a:extLst>
                <a:ext uri="{FF2B5EF4-FFF2-40B4-BE49-F238E27FC236}">
                  <a16:creationId xmlns:a16="http://schemas.microsoft.com/office/drawing/2014/main" id="{39CD8FF4-70DF-4A7E-BE7D-A9CAF7B05568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1047" y="444"/>
              <a:ext cx="11" cy="8"/>
            </a:xfrm>
            <a:prstGeom prst="rect">
              <a:avLst/>
            </a:prstGeom>
            <a:noFill/>
            <a:ln w="12700" algn="ctr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290" name="Rectangle 2307">
              <a:extLst>
                <a:ext uri="{FF2B5EF4-FFF2-40B4-BE49-F238E27FC236}">
                  <a16:creationId xmlns:a16="http://schemas.microsoft.com/office/drawing/2014/main" id="{FE823EE4-EBEC-4157-A282-BDC8FBE6BA1B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1047" y="437"/>
              <a:ext cx="11" cy="5"/>
            </a:xfrm>
            <a:prstGeom prst="rect">
              <a:avLst/>
            </a:prstGeom>
            <a:noFill/>
            <a:ln w="12700" algn="ctr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291" name="Rectangle 2308">
              <a:extLst>
                <a:ext uri="{FF2B5EF4-FFF2-40B4-BE49-F238E27FC236}">
                  <a16:creationId xmlns:a16="http://schemas.microsoft.com/office/drawing/2014/main" id="{5BC6B9BE-0E4C-44DA-AB2A-4DF8EBFD62E1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1055" y="329"/>
              <a:ext cx="3" cy="108"/>
            </a:xfrm>
            <a:prstGeom prst="rect">
              <a:avLst/>
            </a:prstGeom>
            <a:solidFill>
              <a:srgbClr val="FFFFFF"/>
            </a:solidFill>
            <a:ln w="12700">
              <a:solidFill>
                <a:srgbClr val="000000"/>
              </a:solidFill>
              <a:miter lim="800000"/>
              <a:headEnd/>
              <a:tailEnd/>
            </a:ln>
          </xdr:spPr>
        </xdr:sp>
      </xdr:grpSp>
    </xdr:grpSp>
    <xdr:clientData/>
  </xdr:twoCellAnchor>
  <xdr:twoCellAnchor>
    <xdr:from>
      <xdr:col>23</xdr:col>
      <xdr:colOff>168086</xdr:colOff>
      <xdr:row>28</xdr:row>
      <xdr:rowOff>89648</xdr:rowOff>
    </xdr:from>
    <xdr:to>
      <xdr:col>28</xdr:col>
      <xdr:colOff>59086</xdr:colOff>
      <xdr:row>33</xdr:row>
      <xdr:rowOff>97798</xdr:rowOff>
    </xdr:to>
    <xdr:grpSp>
      <xdr:nvGrpSpPr>
        <xdr:cNvPr id="305" name="Group 304">
          <a:extLst>
            <a:ext uri="{FF2B5EF4-FFF2-40B4-BE49-F238E27FC236}">
              <a16:creationId xmlns:a16="http://schemas.microsoft.com/office/drawing/2014/main" id="{92C1FA2A-7D4C-45EA-9A77-94F079CED566}"/>
            </a:ext>
          </a:extLst>
        </xdr:cNvPr>
        <xdr:cNvGrpSpPr/>
      </xdr:nvGrpSpPr>
      <xdr:grpSpPr>
        <a:xfrm>
          <a:off x="10669399" y="5447461"/>
          <a:ext cx="2177000" cy="960650"/>
          <a:chOff x="14127965" y="7649181"/>
          <a:chExt cx="2246752" cy="964318"/>
        </a:xfrm>
      </xdr:grpSpPr>
      <xdr:sp macro="" textlink="">
        <xdr:nvSpPr>
          <xdr:cNvPr id="306" name="Freeform 2287">
            <a:extLst>
              <a:ext uri="{FF2B5EF4-FFF2-40B4-BE49-F238E27FC236}">
                <a16:creationId xmlns:a16="http://schemas.microsoft.com/office/drawing/2014/main" id="{77CEEFD4-7565-429C-90CC-46E5E4369BDC}"/>
              </a:ext>
            </a:extLst>
          </xdr:cNvPr>
          <xdr:cNvSpPr>
            <a:spLocks/>
          </xdr:cNvSpPr>
        </xdr:nvSpPr>
        <xdr:spPr bwMode="auto">
          <a:xfrm flipH="1">
            <a:off x="15816428" y="7808692"/>
            <a:ext cx="558289" cy="413279"/>
          </a:xfrm>
          <a:custGeom>
            <a:avLst/>
            <a:gdLst>
              <a:gd name="T0" fmla="*/ 0 w 77"/>
              <a:gd name="T1" fmla="*/ 0 h 51"/>
              <a:gd name="T2" fmla="*/ 61 w 77"/>
              <a:gd name="T3" fmla="*/ 0 h 51"/>
              <a:gd name="T4" fmla="*/ 61 w 77"/>
              <a:gd name="T5" fmla="*/ 49 h 51"/>
              <a:gd name="T6" fmla="*/ 77 w 77"/>
              <a:gd name="T7" fmla="*/ 78 h 51"/>
              <a:gd name="T8" fmla="*/ 77 w 77"/>
              <a:gd name="T9" fmla="*/ 139 h 51"/>
              <a:gd name="T10" fmla="*/ 0 w 77"/>
              <a:gd name="T11" fmla="*/ 39 h 51"/>
              <a:gd name="T12" fmla="*/ 0 w 77"/>
              <a:gd name="T13" fmla="*/ 0 h 5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77"/>
              <a:gd name="T22" fmla="*/ 0 h 51"/>
              <a:gd name="T23" fmla="*/ 77 w 77"/>
              <a:gd name="T24" fmla="*/ 51 h 5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77" h="51">
                <a:moveTo>
                  <a:pt x="0" y="0"/>
                </a:moveTo>
                <a:lnTo>
                  <a:pt x="61" y="0"/>
                </a:lnTo>
                <a:lnTo>
                  <a:pt x="61" y="18"/>
                </a:lnTo>
                <a:lnTo>
                  <a:pt x="77" y="29"/>
                </a:lnTo>
                <a:lnTo>
                  <a:pt x="77" y="51"/>
                </a:lnTo>
                <a:lnTo>
                  <a:pt x="0" y="14"/>
                </a:lnTo>
                <a:lnTo>
                  <a:pt x="0" y="0"/>
                </a:lnTo>
                <a:close/>
              </a:path>
            </a:pathLst>
          </a:custGeom>
          <a:noFill/>
          <a:ln w="12700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grpSp>
        <xdr:nvGrpSpPr>
          <xdr:cNvPr id="307" name="Group 2288">
            <a:extLst>
              <a:ext uri="{FF2B5EF4-FFF2-40B4-BE49-F238E27FC236}">
                <a16:creationId xmlns:a16="http://schemas.microsoft.com/office/drawing/2014/main" id="{EC8A0A2A-A8D6-4BB7-8E0C-EEBF8F788348}"/>
              </a:ext>
            </a:extLst>
          </xdr:cNvPr>
          <xdr:cNvGrpSpPr>
            <a:grpSpLocks/>
          </xdr:cNvGrpSpPr>
        </xdr:nvGrpSpPr>
        <xdr:grpSpPr bwMode="auto">
          <a:xfrm>
            <a:off x="14127965" y="7786941"/>
            <a:ext cx="1690527" cy="703300"/>
            <a:chOff x="924" y="329"/>
            <a:chExt cx="211" cy="108"/>
          </a:xfrm>
        </xdr:grpSpPr>
        <xdr:sp macro="" textlink="">
          <xdr:nvSpPr>
            <xdr:cNvPr id="315" name="Rectangle 2289" descr="Small grid">
              <a:extLst>
                <a:ext uri="{FF2B5EF4-FFF2-40B4-BE49-F238E27FC236}">
                  <a16:creationId xmlns:a16="http://schemas.microsoft.com/office/drawing/2014/main" id="{39219199-61F9-44DD-BA92-5D90CBEC19C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24" y="367"/>
              <a:ext cx="34" cy="25"/>
            </a:xfrm>
            <a:prstGeom prst="rect">
              <a:avLst/>
            </a:prstGeom>
            <a:pattFill prst="smGrid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316" name="Freeform 2290">
              <a:extLst>
                <a:ext uri="{FF2B5EF4-FFF2-40B4-BE49-F238E27FC236}">
                  <a16:creationId xmlns:a16="http://schemas.microsoft.com/office/drawing/2014/main" id="{EC24CADB-3A9A-4A56-86AC-D7922DC8BD2F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1101" y="334"/>
              <a:ext cx="14" cy="98"/>
            </a:xfrm>
            <a:custGeom>
              <a:avLst/>
              <a:gdLst>
                <a:gd name="T0" fmla="*/ 4 w 16"/>
                <a:gd name="T1" fmla="*/ 0 h 98"/>
                <a:gd name="T2" fmla="*/ 0 w 16"/>
                <a:gd name="T3" fmla="*/ 25 h 98"/>
                <a:gd name="T4" fmla="*/ 0 w 16"/>
                <a:gd name="T5" fmla="*/ 72 h 98"/>
                <a:gd name="T6" fmla="*/ 4 w 16"/>
                <a:gd name="T7" fmla="*/ 98 h 98"/>
                <a:gd name="T8" fmla="*/ 4 w 16"/>
                <a:gd name="T9" fmla="*/ 0 h 98"/>
                <a:gd name="T10" fmla="*/ 0 60000 65536"/>
                <a:gd name="T11" fmla="*/ 0 60000 65536"/>
                <a:gd name="T12" fmla="*/ 0 60000 65536"/>
                <a:gd name="T13" fmla="*/ 0 60000 65536"/>
                <a:gd name="T14" fmla="*/ 0 60000 65536"/>
                <a:gd name="T15" fmla="*/ 0 w 16"/>
                <a:gd name="T16" fmla="*/ 0 h 98"/>
                <a:gd name="T17" fmla="*/ 16 w 16"/>
                <a:gd name="T18" fmla="*/ 98 h 98"/>
              </a:gdLst>
              <a:ahLst/>
              <a:cxnLst>
                <a:cxn ang="T10">
                  <a:pos x="T0" y="T1"/>
                </a:cxn>
                <a:cxn ang="T11">
                  <a:pos x="T2" y="T3"/>
                </a:cxn>
                <a:cxn ang="T12">
                  <a:pos x="T4" y="T5"/>
                </a:cxn>
                <a:cxn ang="T13">
                  <a:pos x="T6" y="T7"/>
                </a:cxn>
                <a:cxn ang="T14">
                  <a:pos x="T8" y="T9"/>
                </a:cxn>
              </a:cxnLst>
              <a:rect l="T15" t="T16" r="T17" b="T18"/>
              <a:pathLst>
                <a:path w="16" h="98">
                  <a:moveTo>
                    <a:pt x="16" y="0"/>
                  </a:moveTo>
                  <a:lnTo>
                    <a:pt x="0" y="25"/>
                  </a:lnTo>
                  <a:lnTo>
                    <a:pt x="0" y="72"/>
                  </a:lnTo>
                  <a:lnTo>
                    <a:pt x="16" y="98"/>
                  </a:lnTo>
                  <a:lnTo>
                    <a:pt x="16" y="0"/>
                  </a:lnTo>
                  <a:close/>
                </a:path>
              </a:pathLst>
            </a:custGeom>
            <a:noFill/>
            <a:ln w="12700" cap="flat" cmpd="sng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317" name="Rectangle 2291">
              <a:extLst>
                <a:ext uri="{FF2B5EF4-FFF2-40B4-BE49-F238E27FC236}">
                  <a16:creationId xmlns:a16="http://schemas.microsoft.com/office/drawing/2014/main" id="{079CFA8D-37FD-4326-82D7-B4F6A48AEB9E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 flipH="1">
              <a:off x="996" y="332"/>
              <a:ext cx="108" cy="101"/>
            </a:xfrm>
            <a:prstGeom prst="rect">
              <a:avLst/>
            </a:prstGeom>
            <a:noFill/>
            <a:ln w="12700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318" name="Freeform 2292">
              <a:extLst>
                <a:ext uri="{FF2B5EF4-FFF2-40B4-BE49-F238E27FC236}">
                  <a16:creationId xmlns:a16="http://schemas.microsoft.com/office/drawing/2014/main" id="{FD50DCFD-EFBA-4F2E-9F3D-DCDF86D5EC23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977" y="335"/>
              <a:ext cx="16" cy="97"/>
            </a:xfrm>
            <a:custGeom>
              <a:avLst/>
              <a:gdLst>
                <a:gd name="T0" fmla="*/ 0 w 16"/>
                <a:gd name="T1" fmla="*/ 0 h 96"/>
                <a:gd name="T2" fmla="*/ 16 w 16"/>
                <a:gd name="T3" fmla="*/ 24 h 96"/>
                <a:gd name="T4" fmla="*/ 16 w 16"/>
                <a:gd name="T5" fmla="*/ 79 h 96"/>
                <a:gd name="T6" fmla="*/ 0 w 16"/>
                <a:gd name="T7" fmla="*/ 105 h 96"/>
                <a:gd name="T8" fmla="*/ 0 w 16"/>
                <a:gd name="T9" fmla="*/ 0 h 96"/>
                <a:gd name="T10" fmla="*/ 0 60000 65536"/>
                <a:gd name="T11" fmla="*/ 0 60000 65536"/>
                <a:gd name="T12" fmla="*/ 0 60000 65536"/>
                <a:gd name="T13" fmla="*/ 0 60000 65536"/>
                <a:gd name="T14" fmla="*/ 0 60000 65536"/>
                <a:gd name="T15" fmla="*/ 0 w 16"/>
                <a:gd name="T16" fmla="*/ 0 h 96"/>
                <a:gd name="T17" fmla="*/ 16 w 16"/>
                <a:gd name="T18" fmla="*/ 96 h 96"/>
              </a:gdLst>
              <a:ahLst/>
              <a:cxnLst>
                <a:cxn ang="T10">
                  <a:pos x="T0" y="T1"/>
                </a:cxn>
                <a:cxn ang="T11">
                  <a:pos x="T2" y="T3"/>
                </a:cxn>
                <a:cxn ang="T12">
                  <a:pos x="T4" y="T5"/>
                </a:cxn>
                <a:cxn ang="T13">
                  <a:pos x="T6" y="T7"/>
                </a:cxn>
                <a:cxn ang="T14">
                  <a:pos x="T8" y="T9"/>
                </a:cxn>
              </a:cxnLst>
              <a:rect l="T15" t="T16" r="T17" b="T18"/>
              <a:pathLst>
                <a:path w="16" h="96">
                  <a:moveTo>
                    <a:pt x="0" y="0"/>
                  </a:moveTo>
                  <a:lnTo>
                    <a:pt x="16" y="24"/>
                  </a:lnTo>
                  <a:lnTo>
                    <a:pt x="16" y="70"/>
                  </a:lnTo>
                  <a:lnTo>
                    <a:pt x="0" y="96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12700" cap="flat" cmpd="sng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319" name="Rectangle 2293">
              <a:extLst>
                <a:ext uri="{FF2B5EF4-FFF2-40B4-BE49-F238E27FC236}">
                  <a16:creationId xmlns:a16="http://schemas.microsoft.com/office/drawing/2014/main" id="{818371B5-725B-4DF5-A4AA-2545DCD9CF79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993" y="329"/>
              <a:ext cx="3" cy="108"/>
            </a:xfrm>
            <a:prstGeom prst="rect">
              <a:avLst/>
            </a:prstGeom>
            <a:solidFill>
              <a:srgbClr val="FFFFFF"/>
            </a:solidFill>
            <a:ln w="12700" algn="ctr">
              <a:solidFill>
                <a:srgbClr val="000000"/>
              </a:solidFill>
              <a:miter lim="800000"/>
              <a:headEnd/>
              <a:tailEnd/>
            </a:ln>
          </xdr:spPr>
        </xdr:sp>
        <xdr:grpSp>
          <xdr:nvGrpSpPr>
            <xdr:cNvPr id="320" name="Group 2294">
              <a:extLst>
                <a:ext uri="{FF2B5EF4-FFF2-40B4-BE49-F238E27FC236}">
                  <a16:creationId xmlns:a16="http://schemas.microsoft.com/office/drawing/2014/main" id="{54E00B12-2C1C-4C3B-863C-DF163F5EA11C}"/>
                </a:ext>
              </a:extLst>
            </xdr:cNvPr>
            <xdr:cNvGrpSpPr>
              <a:grpSpLocks noChangeAspect="1"/>
            </xdr:cNvGrpSpPr>
          </xdr:nvGrpSpPr>
          <xdr:grpSpPr bwMode="auto">
            <a:xfrm flipH="1">
              <a:off x="1116" y="360"/>
              <a:ext cx="19" cy="44"/>
              <a:chOff x="311" y="549"/>
              <a:chExt cx="19" cy="43"/>
            </a:xfrm>
          </xdr:grpSpPr>
          <xdr:sp macro="" textlink="">
            <xdr:nvSpPr>
              <xdr:cNvPr id="325" name="Rectangle 2295">
                <a:extLst>
                  <a:ext uri="{FF2B5EF4-FFF2-40B4-BE49-F238E27FC236}">
                    <a16:creationId xmlns:a16="http://schemas.microsoft.com/office/drawing/2014/main" id="{6FCB4125-878A-4B4F-AFE1-FB17E57D3FB2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314" y="551"/>
                <a:ext cx="16" cy="39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  <xdr:sp macro="" textlink="">
            <xdr:nvSpPr>
              <xdr:cNvPr id="326" name="Rectangle 2296">
                <a:extLst>
                  <a:ext uri="{FF2B5EF4-FFF2-40B4-BE49-F238E27FC236}">
                    <a16:creationId xmlns:a16="http://schemas.microsoft.com/office/drawing/2014/main" id="{84A7A179-1246-4656-80B3-FC01CECE8319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311" y="549"/>
                <a:ext cx="3" cy="43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  <xdr:sp macro="" textlink="">
            <xdr:nvSpPr>
              <xdr:cNvPr id="327" name="Rectangle 2297">
                <a:extLst>
                  <a:ext uri="{FF2B5EF4-FFF2-40B4-BE49-F238E27FC236}">
                    <a16:creationId xmlns:a16="http://schemas.microsoft.com/office/drawing/2014/main" id="{F2DEC528-EFFA-45E4-B2E3-2D0540AF9D9D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329" y="549"/>
                <a:ext cx="1" cy="43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</xdr:grpSp>
        <xdr:grpSp>
          <xdr:nvGrpSpPr>
            <xdr:cNvPr id="321" name="Group 2298">
              <a:extLst>
                <a:ext uri="{FF2B5EF4-FFF2-40B4-BE49-F238E27FC236}">
                  <a16:creationId xmlns:a16="http://schemas.microsoft.com/office/drawing/2014/main" id="{8A3C2C61-402B-4C90-BFA9-EC963D803BF0}"/>
                </a:ext>
              </a:extLst>
            </xdr:cNvPr>
            <xdr:cNvGrpSpPr>
              <a:grpSpLocks noChangeAspect="1"/>
            </xdr:cNvGrpSpPr>
          </xdr:nvGrpSpPr>
          <xdr:grpSpPr bwMode="auto">
            <a:xfrm flipH="1">
              <a:off x="958" y="360"/>
              <a:ext cx="19" cy="44"/>
              <a:chOff x="423" y="549"/>
              <a:chExt cx="19" cy="43"/>
            </a:xfrm>
          </xdr:grpSpPr>
          <xdr:sp macro="" textlink="">
            <xdr:nvSpPr>
              <xdr:cNvPr id="322" name="Rectangle 2299">
                <a:extLst>
                  <a:ext uri="{FF2B5EF4-FFF2-40B4-BE49-F238E27FC236}">
                    <a16:creationId xmlns:a16="http://schemas.microsoft.com/office/drawing/2014/main" id="{F5EC5B9B-4453-48DF-8029-E48D365C16CE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 flipH="1">
                <a:off x="423" y="551"/>
                <a:ext cx="16" cy="39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  <xdr:sp macro="" textlink="">
            <xdr:nvSpPr>
              <xdr:cNvPr id="323" name="Rectangle 2300">
                <a:extLst>
                  <a:ext uri="{FF2B5EF4-FFF2-40B4-BE49-F238E27FC236}">
                    <a16:creationId xmlns:a16="http://schemas.microsoft.com/office/drawing/2014/main" id="{E2DDF753-7A26-492C-8C18-6D681E445D04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 flipH="1">
                <a:off x="439" y="549"/>
                <a:ext cx="3" cy="43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  <xdr:sp macro="" textlink="">
            <xdr:nvSpPr>
              <xdr:cNvPr id="324" name="Rectangle 2301">
                <a:extLst>
                  <a:ext uri="{FF2B5EF4-FFF2-40B4-BE49-F238E27FC236}">
                    <a16:creationId xmlns:a16="http://schemas.microsoft.com/office/drawing/2014/main" id="{CA5E9F5D-5F23-4201-B47A-483DE7A1C3EA}"/>
                  </a:ext>
                </a:extLst>
              </xdr:cNvPr>
              <xdr:cNvSpPr>
                <a:spLocks noChangeAspect="1" noChangeArrowheads="1"/>
              </xdr:cNvSpPr>
            </xdr:nvSpPr>
            <xdr:spPr bwMode="auto">
              <a:xfrm>
                <a:off x="423" y="549"/>
                <a:ext cx="1" cy="43"/>
              </a:xfrm>
              <a:prstGeom prst="rect">
                <a:avLst/>
              </a:prstGeom>
              <a:noFill/>
              <a:ln w="12700">
                <a:solidFill>
                  <a:srgbClr val="000000"/>
                </a:solidFill>
                <a:miter lim="800000"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sp>
        </xdr:grpSp>
      </xdr:grpSp>
      <xdr:grpSp>
        <xdr:nvGrpSpPr>
          <xdr:cNvPr id="308" name="Group 2302">
            <a:extLst>
              <a:ext uri="{FF2B5EF4-FFF2-40B4-BE49-F238E27FC236}">
                <a16:creationId xmlns:a16="http://schemas.microsoft.com/office/drawing/2014/main" id="{F56EE4A0-4411-43D9-A292-7AF173ED2D17}"/>
              </a:ext>
            </a:extLst>
          </xdr:cNvPr>
          <xdr:cNvGrpSpPr>
            <a:grpSpLocks/>
          </xdr:cNvGrpSpPr>
        </xdr:nvGrpSpPr>
        <xdr:grpSpPr bwMode="auto">
          <a:xfrm>
            <a:off x="15412464" y="7649181"/>
            <a:ext cx="159511" cy="964318"/>
            <a:chOff x="1042" y="311"/>
            <a:chExt cx="19" cy="144"/>
          </a:xfrm>
        </xdr:grpSpPr>
        <xdr:sp macro="" textlink="">
          <xdr:nvSpPr>
            <xdr:cNvPr id="309" name="Rectangle 2303">
              <a:extLst>
                <a:ext uri="{FF2B5EF4-FFF2-40B4-BE49-F238E27FC236}">
                  <a16:creationId xmlns:a16="http://schemas.microsoft.com/office/drawing/2014/main" id="{4AA9C1D8-E338-4D7E-9F4B-478433D697EE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 flipH="1">
              <a:off x="1042" y="311"/>
              <a:ext cx="19" cy="144"/>
            </a:xfrm>
            <a:prstGeom prst="rect">
              <a:avLst/>
            </a:prstGeom>
            <a:noFill/>
            <a:ln w="12700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310" name="Rectangle 2304">
              <a:extLst>
                <a:ext uri="{FF2B5EF4-FFF2-40B4-BE49-F238E27FC236}">
                  <a16:creationId xmlns:a16="http://schemas.microsoft.com/office/drawing/2014/main" id="{F10A88D6-629C-4170-AAA3-258183D7EF38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1047" y="314"/>
              <a:ext cx="11" cy="8"/>
            </a:xfrm>
            <a:prstGeom prst="rect">
              <a:avLst/>
            </a:prstGeom>
            <a:noFill/>
            <a:ln w="12700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311" name="Rectangle 2305">
              <a:extLst>
                <a:ext uri="{FF2B5EF4-FFF2-40B4-BE49-F238E27FC236}">
                  <a16:creationId xmlns:a16="http://schemas.microsoft.com/office/drawing/2014/main" id="{1079C10C-BE62-4E7D-8BAE-F99E8AC915FA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1047" y="324"/>
              <a:ext cx="11" cy="5"/>
            </a:xfrm>
            <a:prstGeom prst="rect">
              <a:avLst/>
            </a:prstGeom>
            <a:noFill/>
            <a:ln w="12700" algn="ctr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312" name="Rectangle 2306">
              <a:extLst>
                <a:ext uri="{FF2B5EF4-FFF2-40B4-BE49-F238E27FC236}">
                  <a16:creationId xmlns:a16="http://schemas.microsoft.com/office/drawing/2014/main" id="{CC30A927-5AF3-47AB-8B4D-3A55F28DB917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1047" y="444"/>
              <a:ext cx="11" cy="8"/>
            </a:xfrm>
            <a:prstGeom prst="rect">
              <a:avLst/>
            </a:prstGeom>
            <a:noFill/>
            <a:ln w="12700" algn="ctr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313" name="Rectangle 2307">
              <a:extLst>
                <a:ext uri="{FF2B5EF4-FFF2-40B4-BE49-F238E27FC236}">
                  <a16:creationId xmlns:a16="http://schemas.microsoft.com/office/drawing/2014/main" id="{828E4F77-05D5-403F-8B69-582EEE5A5E0C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1047" y="437"/>
              <a:ext cx="11" cy="5"/>
            </a:xfrm>
            <a:prstGeom prst="rect">
              <a:avLst/>
            </a:prstGeom>
            <a:noFill/>
            <a:ln w="12700" algn="ctr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314" name="Rectangle 2308">
              <a:extLst>
                <a:ext uri="{FF2B5EF4-FFF2-40B4-BE49-F238E27FC236}">
                  <a16:creationId xmlns:a16="http://schemas.microsoft.com/office/drawing/2014/main" id="{123E7816-F492-4908-B38E-BB8AC1E46C6F}"/>
                </a:ext>
              </a:extLst>
            </xdr:cNvPr>
            <xdr:cNvSpPr>
              <a:spLocks noChangeAspect="1" noChangeArrowheads="1"/>
            </xdr:cNvSpPr>
          </xdr:nvSpPr>
          <xdr:spPr bwMode="auto">
            <a:xfrm>
              <a:off x="1055" y="329"/>
              <a:ext cx="3" cy="108"/>
            </a:xfrm>
            <a:prstGeom prst="rect">
              <a:avLst/>
            </a:prstGeom>
            <a:solidFill>
              <a:srgbClr val="FFFFFF"/>
            </a:solidFill>
            <a:ln w="12700">
              <a:solidFill>
                <a:srgbClr val="000000"/>
              </a:solidFill>
              <a:miter lim="800000"/>
              <a:headEnd/>
              <a:tailEnd/>
            </a:ln>
          </xdr:spPr>
        </xdr:sp>
      </xdr:grpSp>
    </xdr:grpSp>
    <xdr:clientData/>
  </xdr:twoCellAnchor>
  <xdr:twoCellAnchor>
    <xdr:from>
      <xdr:col>19</xdr:col>
      <xdr:colOff>417632</xdr:colOff>
      <xdr:row>18</xdr:row>
      <xdr:rowOff>0</xdr:rowOff>
    </xdr:from>
    <xdr:to>
      <xdr:col>21</xdr:col>
      <xdr:colOff>78439</xdr:colOff>
      <xdr:row>43</xdr:row>
      <xdr:rowOff>0</xdr:rowOff>
    </xdr:to>
    <xdr:sp macro="" textlink="">
      <xdr:nvSpPr>
        <xdr:cNvPr id="328" name="Freeform 55">
          <a:extLst>
            <a:ext uri="{FF2B5EF4-FFF2-40B4-BE49-F238E27FC236}">
              <a16:creationId xmlns:a16="http://schemas.microsoft.com/office/drawing/2014/main" id="{20EB49F1-2614-423F-9F42-4944A7B7DE2A}"/>
            </a:ext>
          </a:extLst>
        </xdr:cNvPr>
        <xdr:cNvSpPr>
          <a:spLocks/>
        </xdr:cNvSpPr>
      </xdr:nvSpPr>
      <xdr:spPr bwMode="auto">
        <a:xfrm flipH="1">
          <a:off x="9056807" y="3295650"/>
          <a:ext cx="556157" cy="4552950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20</xdr:col>
      <xdr:colOff>109904</xdr:colOff>
      <xdr:row>30</xdr:row>
      <xdr:rowOff>180974</xdr:rowOff>
    </xdr:from>
    <xdr:to>
      <xdr:col>23</xdr:col>
      <xdr:colOff>156879</xdr:colOff>
      <xdr:row>42</xdr:row>
      <xdr:rowOff>175846</xdr:rowOff>
    </xdr:to>
    <xdr:sp macro="" textlink="">
      <xdr:nvSpPr>
        <xdr:cNvPr id="329" name="Freeform 55">
          <a:extLst>
            <a:ext uri="{FF2B5EF4-FFF2-40B4-BE49-F238E27FC236}">
              <a16:creationId xmlns:a16="http://schemas.microsoft.com/office/drawing/2014/main" id="{03923278-2AF5-4C1C-A91D-68362591D48E}"/>
            </a:ext>
          </a:extLst>
        </xdr:cNvPr>
        <xdr:cNvSpPr>
          <a:spLocks/>
        </xdr:cNvSpPr>
      </xdr:nvSpPr>
      <xdr:spPr bwMode="auto">
        <a:xfrm flipH="1">
          <a:off x="9196754" y="5648324"/>
          <a:ext cx="1409050" cy="2195147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25</xdr:col>
      <xdr:colOff>340178</xdr:colOff>
      <xdr:row>9</xdr:row>
      <xdr:rowOff>115956</xdr:rowOff>
    </xdr:from>
    <xdr:to>
      <xdr:col>27</xdr:col>
      <xdr:colOff>0</xdr:colOff>
      <xdr:row>16</xdr:row>
      <xdr:rowOff>78436</xdr:rowOff>
    </xdr:to>
    <xdr:sp macro="" textlink="">
      <xdr:nvSpPr>
        <xdr:cNvPr id="330" name="Freeform 55">
          <a:extLst>
            <a:ext uri="{FF2B5EF4-FFF2-40B4-BE49-F238E27FC236}">
              <a16:creationId xmlns:a16="http://schemas.microsoft.com/office/drawing/2014/main" id="{2421B022-3E8D-461F-8FE8-0EE773FE7663}"/>
            </a:ext>
          </a:extLst>
        </xdr:cNvPr>
        <xdr:cNvSpPr>
          <a:spLocks/>
        </xdr:cNvSpPr>
      </xdr:nvSpPr>
      <xdr:spPr bwMode="auto">
        <a:xfrm flipH="1">
          <a:off x="11732078" y="1744731"/>
          <a:ext cx="555172" cy="1267405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27</xdr:col>
      <xdr:colOff>340978</xdr:colOff>
      <xdr:row>22</xdr:row>
      <xdr:rowOff>0</xdr:rowOff>
    </xdr:from>
    <xdr:to>
      <xdr:col>28</xdr:col>
      <xdr:colOff>248478</xdr:colOff>
      <xdr:row>29</xdr:row>
      <xdr:rowOff>56029</xdr:rowOff>
    </xdr:to>
    <xdr:sp macro="" textlink="">
      <xdr:nvSpPr>
        <xdr:cNvPr id="331" name="Freeform 55">
          <a:extLst>
            <a:ext uri="{FF2B5EF4-FFF2-40B4-BE49-F238E27FC236}">
              <a16:creationId xmlns:a16="http://schemas.microsoft.com/office/drawing/2014/main" id="{AE9A33B7-B841-4D22-B6B8-8A7A8AD8C566}"/>
            </a:ext>
          </a:extLst>
        </xdr:cNvPr>
        <xdr:cNvSpPr>
          <a:spLocks/>
        </xdr:cNvSpPr>
      </xdr:nvSpPr>
      <xdr:spPr bwMode="auto">
        <a:xfrm flipH="1">
          <a:off x="12628228" y="4019550"/>
          <a:ext cx="364700" cy="1322854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148497</xdr:colOff>
      <xdr:row>26</xdr:row>
      <xdr:rowOff>75</xdr:rowOff>
    </xdr:from>
    <xdr:to>
      <xdr:col>19</xdr:col>
      <xdr:colOff>364497</xdr:colOff>
      <xdr:row>26</xdr:row>
      <xdr:rowOff>75</xdr:rowOff>
    </xdr:to>
    <xdr:sp macro="" textlink="">
      <xdr:nvSpPr>
        <xdr:cNvPr id="332" name="Line 463">
          <a:extLst>
            <a:ext uri="{FF2B5EF4-FFF2-40B4-BE49-F238E27FC236}">
              <a16:creationId xmlns:a16="http://schemas.microsoft.com/office/drawing/2014/main" id="{540B46BA-4C1C-4E71-9EA1-8CABBBC0C79A}"/>
            </a:ext>
          </a:extLst>
        </xdr:cNvPr>
        <xdr:cNvSpPr>
          <a:spLocks noChangeShapeType="1"/>
        </xdr:cNvSpPr>
      </xdr:nvSpPr>
      <xdr:spPr bwMode="auto">
        <a:xfrm rot="10800000" flipH="1">
          <a:off x="8787672" y="4743525"/>
          <a:ext cx="2160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non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205630</xdr:colOff>
      <xdr:row>7</xdr:row>
      <xdr:rowOff>89646</xdr:rowOff>
    </xdr:from>
    <xdr:to>
      <xdr:col>28</xdr:col>
      <xdr:colOff>306457</xdr:colOff>
      <xdr:row>44</xdr:row>
      <xdr:rowOff>0</xdr:rowOff>
    </xdr:to>
    <xdr:sp macro="" textlink="">
      <xdr:nvSpPr>
        <xdr:cNvPr id="333" name="Freeform 55">
          <a:extLst>
            <a:ext uri="{FF2B5EF4-FFF2-40B4-BE49-F238E27FC236}">
              <a16:creationId xmlns:a16="http://schemas.microsoft.com/office/drawing/2014/main" id="{B539F451-8873-4ACA-8474-244C5DECF219}"/>
            </a:ext>
          </a:extLst>
        </xdr:cNvPr>
        <xdr:cNvSpPr>
          <a:spLocks/>
        </xdr:cNvSpPr>
      </xdr:nvSpPr>
      <xdr:spPr bwMode="auto">
        <a:xfrm flipV="1">
          <a:off x="10654555" y="1356471"/>
          <a:ext cx="2396352" cy="6673104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28</xdr:col>
      <xdr:colOff>390037</xdr:colOff>
      <xdr:row>22</xdr:row>
      <xdr:rowOff>2399</xdr:rowOff>
    </xdr:from>
    <xdr:to>
      <xdr:col>30</xdr:col>
      <xdr:colOff>143516</xdr:colOff>
      <xdr:row>22</xdr:row>
      <xdr:rowOff>2399</xdr:rowOff>
    </xdr:to>
    <xdr:sp macro="" textlink="">
      <xdr:nvSpPr>
        <xdr:cNvPr id="334" name="Line 463">
          <a:extLst>
            <a:ext uri="{FF2B5EF4-FFF2-40B4-BE49-F238E27FC236}">
              <a16:creationId xmlns:a16="http://schemas.microsoft.com/office/drawing/2014/main" id="{4C3B6260-050E-47C6-B724-B2537248C4AF}"/>
            </a:ext>
          </a:extLst>
        </xdr:cNvPr>
        <xdr:cNvSpPr>
          <a:spLocks noChangeShapeType="1"/>
        </xdr:cNvSpPr>
      </xdr:nvSpPr>
      <xdr:spPr bwMode="auto">
        <a:xfrm rot="10800000" flipH="1">
          <a:off x="13134487" y="4021949"/>
          <a:ext cx="648829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non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236118</xdr:colOff>
      <xdr:row>45</xdr:row>
      <xdr:rowOff>152172</xdr:rowOff>
    </xdr:from>
    <xdr:to>
      <xdr:col>25</xdr:col>
      <xdr:colOff>98736</xdr:colOff>
      <xdr:row>47</xdr:row>
      <xdr:rowOff>60166</xdr:rowOff>
    </xdr:to>
    <xdr:grpSp>
      <xdr:nvGrpSpPr>
        <xdr:cNvPr id="335" name="Group 2">
          <a:extLst>
            <a:ext uri="{FF2B5EF4-FFF2-40B4-BE49-F238E27FC236}">
              <a16:creationId xmlns:a16="http://schemas.microsoft.com/office/drawing/2014/main" id="{D8D3574F-4548-408F-B46A-9222955BF62B}"/>
            </a:ext>
          </a:extLst>
        </xdr:cNvPr>
        <xdr:cNvGrpSpPr>
          <a:grpSpLocks/>
        </xdr:cNvGrpSpPr>
      </xdr:nvGrpSpPr>
      <xdr:grpSpPr bwMode="auto">
        <a:xfrm>
          <a:off x="11189868" y="8772297"/>
          <a:ext cx="338868" cy="288994"/>
          <a:chOff x="5372100" y="5993541"/>
          <a:chExt cx="309563" cy="292959"/>
        </a:xfrm>
      </xdr:grpSpPr>
      <xdr:sp macro="" textlink="">
        <xdr:nvSpPr>
          <xdr:cNvPr id="336" name="Oval 3921">
            <a:extLst>
              <a:ext uri="{FF2B5EF4-FFF2-40B4-BE49-F238E27FC236}">
                <a16:creationId xmlns:a16="http://schemas.microsoft.com/office/drawing/2014/main" id="{E4E71D22-4E0D-49FF-BFA1-3C9E5C758B9D}"/>
              </a:ext>
            </a:extLst>
          </xdr:cNvPr>
          <xdr:cNvSpPr>
            <a:spLocks noChangeAspect="1" noChangeArrowheads="1"/>
          </xdr:cNvSpPr>
        </xdr:nvSpPr>
        <xdr:spPr bwMode="auto">
          <a:xfrm rot="5400000">
            <a:off x="5367000" y="6026871"/>
            <a:ext cx="264729" cy="254529"/>
          </a:xfrm>
          <a:prstGeom prst="ellips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37" name="Line 3924">
            <a:extLst>
              <a:ext uri="{FF2B5EF4-FFF2-40B4-BE49-F238E27FC236}">
                <a16:creationId xmlns:a16="http://schemas.microsoft.com/office/drawing/2014/main" id="{660211FE-1A5D-484B-B517-0BA542CCDB4B}"/>
              </a:ext>
            </a:extLst>
          </xdr:cNvPr>
          <xdr:cNvSpPr>
            <a:spLocks noChangeAspect="1" noChangeShapeType="1"/>
          </xdr:cNvSpPr>
        </xdr:nvSpPr>
        <xdr:spPr bwMode="auto">
          <a:xfrm rot="5400000" flipV="1">
            <a:off x="5592761" y="5933766"/>
            <a:ext cx="0" cy="177804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8" name="Line 3920">
            <a:extLst>
              <a:ext uri="{FF2B5EF4-FFF2-40B4-BE49-F238E27FC236}">
                <a16:creationId xmlns:a16="http://schemas.microsoft.com/office/drawing/2014/main" id="{4601F100-F9BB-48E8-8FFE-E9A0BAA4AE53}"/>
              </a:ext>
            </a:extLst>
          </xdr:cNvPr>
          <xdr:cNvSpPr>
            <a:spLocks noChangeAspect="1" noChangeShapeType="1"/>
          </xdr:cNvSpPr>
        </xdr:nvSpPr>
        <xdr:spPr bwMode="auto">
          <a:xfrm rot="10800000">
            <a:off x="5681403" y="5993541"/>
            <a:ext cx="0" cy="58738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9" name="Oval 3921">
            <a:extLst>
              <a:ext uri="{FF2B5EF4-FFF2-40B4-BE49-F238E27FC236}">
                <a16:creationId xmlns:a16="http://schemas.microsoft.com/office/drawing/2014/main" id="{C749664C-FF01-47CA-A1E0-8CA5AC2563FC}"/>
              </a:ext>
            </a:extLst>
          </xdr:cNvPr>
          <xdr:cNvSpPr>
            <a:spLocks noChangeAspect="1" noChangeArrowheads="1"/>
          </xdr:cNvSpPr>
        </xdr:nvSpPr>
        <xdr:spPr bwMode="auto">
          <a:xfrm rot="5400000" flipH="1" flipV="1">
            <a:off x="5468339" y="6122729"/>
            <a:ext cx="47551" cy="45719"/>
          </a:xfrm>
          <a:prstGeom prst="ellips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</xdr:grpSp>
    <xdr:clientData/>
  </xdr:twoCellAnchor>
  <xdr:twoCellAnchor>
    <xdr:from>
      <xdr:col>20</xdr:col>
      <xdr:colOff>332975</xdr:colOff>
      <xdr:row>46</xdr:row>
      <xdr:rowOff>128576</xdr:rowOff>
    </xdr:from>
    <xdr:to>
      <xdr:col>24</xdr:col>
      <xdr:colOff>347037</xdr:colOff>
      <xdr:row>46</xdr:row>
      <xdr:rowOff>128576</xdr:rowOff>
    </xdr:to>
    <xdr:sp macro="" textlink="">
      <xdr:nvSpPr>
        <xdr:cNvPr id="340" name="Line 463">
          <a:extLst>
            <a:ext uri="{FF2B5EF4-FFF2-40B4-BE49-F238E27FC236}">
              <a16:creationId xmlns:a16="http://schemas.microsoft.com/office/drawing/2014/main" id="{B3D31843-8F86-400A-84C7-BAE8B4A4377B}"/>
            </a:ext>
          </a:extLst>
        </xdr:cNvPr>
        <xdr:cNvSpPr>
          <a:spLocks noChangeShapeType="1"/>
        </xdr:cNvSpPr>
      </xdr:nvSpPr>
      <xdr:spPr bwMode="auto">
        <a:xfrm rot="10800000" flipH="1">
          <a:off x="9419825" y="8529626"/>
          <a:ext cx="1833337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109680</xdr:colOff>
      <xdr:row>19</xdr:row>
      <xdr:rowOff>142871</xdr:rowOff>
    </xdr:from>
    <xdr:to>
      <xdr:col>32</xdr:col>
      <xdr:colOff>0</xdr:colOff>
      <xdr:row>46</xdr:row>
      <xdr:rowOff>7327</xdr:rowOff>
    </xdr:to>
    <xdr:sp macro="" textlink="">
      <xdr:nvSpPr>
        <xdr:cNvPr id="341" name="Freeform 55">
          <a:extLst>
            <a:ext uri="{FF2B5EF4-FFF2-40B4-BE49-F238E27FC236}">
              <a16:creationId xmlns:a16="http://schemas.microsoft.com/office/drawing/2014/main" id="{C9D7F647-8EAF-42FD-AC53-45630F5D50C8}"/>
            </a:ext>
          </a:extLst>
        </xdr:cNvPr>
        <xdr:cNvSpPr>
          <a:spLocks/>
        </xdr:cNvSpPr>
      </xdr:nvSpPr>
      <xdr:spPr bwMode="auto">
        <a:xfrm flipV="1">
          <a:off x="11501580" y="3619496"/>
          <a:ext cx="3109770" cy="4788881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5429</xdr:colOff>
      <xdr:row>17</xdr:row>
      <xdr:rowOff>0</xdr:rowOff>
    </xdr:from>
    <xdr:to>
      <xdr:col>10</xdr:col>
      <xdr:colOff>159190</xdr:colOff>
      <xdr:row>17</xdr:row>
      <xdr:rowOff>132522</xdr:rowOff>
    </xdr:to>
    <xdr:sp macro="" textlink="">
      <xdr:nvSpPr>
        <xdr:cNvPr id="342" name="Oval 15">
          <a:extLst>
            <a:ext uri="{FF2B5EF4-FFF2-40B4-BE49-F238E27FC236}">
              <a16:creationId xmlns:a16="http://schemas.microsoft.com/office/drawing/2014/main" id="{E69CFE2E-D7CC-40E8-AD56-4A645CB5800E}"/>
            </a:ext>
          </a:extLst>
        </xdr:cNvPr>
        <xdr:cNvSpPr>
          <a:spLocks noChangeArrowheads="1"/>
        </xdr:cNvSpPr>
      </xdr:nvSpPr>
      <xdr:spPr bwMode="auto">
        <a:xfrm>
          <a:off x="4444079" y="3114675"/>
          <a:ext cx="153761" cy="132522"/>
        </a:xfrm>
        <a:prstGeom prst="ellipse">
          <a:avLst/>
        </a:pr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394395</xdr:colOff>
      <xdr:row>17</xdr:row>
      <xdr:rowOff>0</xdr:rowOff>
    </xdr:from>
    <xdr:to>
      <xdr:col>10</xdr:col>
      <xdr:colOff>101379</xdr:colOff>
      <xdr:row>17</xdr:row>
      <xdr:rowOff>0</xdr:rowOff>
    </xdr:to>
    <xdr:sp macro="" textlink="">
      <xdr:nvSpPr>
        <xdr:cNvPr id="343" name="Line 765">
          <a:extLst>
            <a:ext uri="{FF2B5EF4-FFF2-40B4-BE49-F238E27FC236}">
              <a16:creationId xmlns:a16="http://schemas.microsoft.com/office/drawing/2014/main" id="{1CE458F7-F89C-4783-95A5-D3F3FFA2D716}"/>
            </a:ext>
          </a:extLst>
        </xdr:cNvPr>
        <xdr:cNvSpPr>
          <a:spLocks noChangeShapeType="1"/>
        </xdr:cNvSpPr>
      </xdr:nvSpPr>
      <xdr:spPr bwMode="auto">
        <a:xfrm>
          <a:off x="1594545" y="3114675"/>
          <a:ext cx="2945484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337250</xdr:colOff>
      <xdr:row>17</xdr:row>
      <xdr:rowOff>0</xdr:rowOff>
    </xdr:from>
    <xdr:to>
      <xdr:col>4</xdr:col>
      <xdr:colOff>30483</xdr:colOff>
      <xdr:row>17</xdr:row>
      <xdr:rowOff>132522</xdr:rowOff>
    </xdr:to>
    <xdr:sp macro="" textlink="">
      <xdr:nvSpPr>
        <xdr:cNvPr id="344" name="Oval 15">
          <a:extLst>
            <a:ext uri="{FF2B5EF4-FFF2-40B4-BE49-F238E27FC236}">
              <a16:creationId xmlns:a16="http://schemas.microsoft.com/office/drawing/2014/main" id="{ECAE77E6-740F-46ED-93E4-45B832C646A8}"/>
            </a:ext>
          </a:extLst>
        </xdr:cNvPr>
        <xdr:cNvSpPr>
          <a:spLocks noChangeArrowheads="1"/>
        </xdr:cNvSpPr>
      </xdr:nvSpPr>
      <xdr:spPr bwMode="auto">
        <a:xfrm>
          <a:off x="1537400" y="3114675"/>
          <a:ext cx="198058" cy="132522"/>
        </a:xfrm>
        <a:prstGeom prst="ellipse">
          <a:avLst/>
        </a:prstGeom>
        <a:solidFill>
          <a:srgbClr val="FFFFFF"/>
        </a:solidFill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105338</xdr:colOff>
      <xdr:row>8</xdr:row>
      <xdr:rowOff>149086</xdr:rowOff>
    </xdr:from>
    <xdr:to>
      <xdr:col>3</xdr:col>
      <xdr:colOff>179156</xdr:colOff>
      <xdr:row>10</xdr:row>
      <xdr:rowOff>78328</xdr:rowOff>
    </xdr:to>
    <xdr:grpSp>
      <xdr:nvGrpSpPr>
        <xdr:cNvPr id="345" name="Group 355">
          <a:extLst>
            <a:ext uri="{FF2B5EF4-FFF2-40B4-BE49-F238E27FC236}">
              <a16:creationId xmlns:a16="http://schemas.microsoft.com/office/drawing/2014/main" id="{164CA7C8-786E-48D7-8E66-33F19D57D071}"/>
            </a:ext>
          </a:extLst>
        </xdr:cNvPr>
        <xdr:cNvGrpSpPr>
          <a:grpSpLocks/>
        </xdr:cNvGrpSpPr>
      </xdr:nvGrpSpPr>
      <xdr:grpSpPr bwMode="auto">
        <a:xfrm>
          <a:off x="391088" y="1673086"/>
          <a:ext cx="978693" cy="310242"/>
          <a:chOff x="1008071" y="7989449"/>
          <a:chExt cx="938142" cy="318008"/>
        </a:xfrm>
      </xdr:grpSpPr>
      <xdr:sp macro="" textlink="">
        <xdr:nvSpPr>
          <xdr:cNvPr id="346" name="Freeform 7">
            <a:extLst>
              <a:ext uri="{FF2B5EF4-FFF2-40B4-BE49-F238E27FC236}">
                <a16:creationId xmlns:a16="http://schemas.microsoft.com/office/drawing/2014/main" id="{E124AA0E-15C7-4B97-A4A3-43ECFC9495DF}"/>
              </a:ext>
            </a:extLst>
          </xdr:cNvPr>
          <xdr:cNvSpPr>
            <a:spLocks/>
          </xdr:cNvSpPr>
        </xdr:nvSpPr>
        <xdr:spPr bwMode="auto">
          <a:xfrm>
            <a:off x="1024864" y="8147522"/>
            <a:ext cx="741370" cy="159935"/>
          </a:xfrm>
          <a:custGeom>
            <a:avLst/>
            <a:gdLst>
              <a:gd name="T0" fmla="*/ 0 w 133"/>
              <a:gd name="T1" fmla="*/ 0 h 17"/>
              <a:gd name="T2" fmla="*/ 0 w 133"/>
              <a:gd name="T3" fmla="*/ 159935 h 17"/>
              <a:gd name="T4" fmla="*/ 691202 w 133"/>
              <a:gd name="T5" fmla="*/ 159935 h 17"/>
              <a:gd name="T6" fmla="*/ 741370 w 133"/>
              <a:gd name="T7" fmla="*/ 75264 h 17"/>
              <a:gd name="T8" fmla="*/ 691202 w 133"/>
              <a:gd name="T9" fmla="*/ 0 h 17"/>
              <a:gd name="T10" fmla="*/ 0 w 133"/>
              <a:gd name="T11" fmla="*/ 0 h 17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  <a:gd name="T18" fmla="*/ 0 w 133"/>
              <a:gd name="T19" fmla="*/ 0 h 17"/>
              <a:gd name="T20" fmla="*/ 133 w 133"/>
              <a:gd name="T21" fmla="*/ 17 h 17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T18" t="T19" r="T20" b="T21"/>
            <a:pathLst>
              <a:path w="133" h="17">
                <a:moveTo>
                  <a:pt x="0" y="0"/>
                </a:moveTo>
                <a:lnTo>
                  <a:pt x="0" y="17"/>
                </a:lnTo>
                <a:lnTo>
                  <a:pt x="124" y="17"/>
                </a:lnTo>
                <a:lnTo>
                  <a:pt x="133" y="8"/>
                </a:lnTo>
                <a:lnTo>
                  <a:pt x="124" y="0"/>
                </a:lnTo>
                <a:lnTo>
                  <a:pt x="0" y="0"/>
                </a:lnTo>
                <a:close/>
              </a:path>
            </a:pathLst>
          </a:custGeom>
          <a:noFill/>
          <a:ln w="9525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47" name="Text Box 9">
            <a:extLst>
              <a:ext uri="{FF2B5EF4-FFF2-40B4-BE49-F238E27FC236}">
                <a16:creationId xmlns:a16="http://schemas.microsoft.com/office/drawing/2014/main" id="{BFD1F254-37BA-493E-AB85-A1584D52EC3F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49289" y="8148453"/>
            <a:ext cx="653857" cy="149066"/>
          </a:xfrm>
          <a:prstGeom prst="rect">
            <a:avLst/>
          </a:prstGeom>
          <a:noFill/>
          <a:ln>
            <a:noFill/>
          </a:ln>
        </xdr:spPr>
        <xdr:txBody>
          <a:bodyPr vertOverflow="clip" wrap="square" lIns="27432" tIns="22860" rIns="27432" bIns="22860" anchor="ctr"/>
          <a:lstStyle/>
          <a:p>
            <a:pPr algn="ctr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MINERAL</a:t>
            </a:r>
            <a:endParaRPr lang="es-CL"/>
          </a:p>
        </xdr:txBody>
      </xdr:sp>
      <xdr:sp macro="" textlink="">
        <xdr:nvSpPr>
          <xdr:cNvPr id="348" name="Text Box 10">
            <a:extLst>
              <a:ext uri="{FF2B5EF4-FFF2-40B4-BE49-F238E27FC236}">
                <a16:creationId xmlns:a16="http://schemas.microsoft.com/office/drawing/2014/main" id="{57C643D2-B744-4E24-A19D-33C3F479A0AE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08071" y="7989449"/>
            <a:ext cx="938142" cy="188817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DE PEBBLES</a:t>
            </a:r>
            <a:endParaRPr lang="es-CL"/>
          </a:p>
        </xdr:txBody>
      </xdr:sp>
    </xdr:grpSp>
    <xdr:clientData/>
  </xdr:twoCellAnchor>
  <xdr:twoCellAnchor>
    <xdr:from>
      <xdr:col>2</xdr:col>
      <xdr:colOff>449035</xdr:colOff>
      <xdr:row>10</xdr:row>
      <xdr:rowOff>0</xdr:rowOff>
    </xdr:from>
    <xdr:to>
      <xdr:col>6</xdr:col>
      <xdr:colOff>217713</xdr:colOff>
      <xdr:row>17</xdr:row>
      <xdr:rowOff>8283</xdr:rowOff>
    </xdr:to>
    <xdr:sp macro="" textlink="">
      <xdr:nvSpPr>
        <xdr:cNvPr id="349" name="Freeform 55">
          <a:extLst>
            <a:ext uri="{FF2B5EF4-FFF2-40B4-BE49-F238E27FC236}">
              <a16:creationId xmlns:a16="http://schemas.microsoft.com/office/drawing/2014/main" id="{E9005653-5270-424C-97E8-782235EAD0C8}"/>
            </a:ext>
          </a:extLst>
        </xdr:cNvPr>
        <xdr:cNvSpPr>
          <a:spLocks/>
        </xdr:cNvSpPr>
      </xdr:nvSpPr>
      <xdr:spPr bwMode="auto">
        <a:xfrm>
          <a:off x="1191985" y="1809750"/>
          <a:ext cx="1654628" cy="1313208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476250</xdr:colOff>
      <xdr:row>5</xdr:row>
      <xdr:rowOff>180019</xdr:rowOff>
    </xdr:from>
    <xdr:to>
      <xdr:col>18</xdr:col>
      <xdr:colOff>1</xdr:colOff>
      <xdr:row>25</xdr:row>
      <xdr:rowOff>102577</xdr:rowOff>
    </xdr:to>
    <xdr:sp macro="" textlink="">
      <xdr:nvSpPr>
        <xdr:cNvPr id="350" name="Freeform 55">
          <a:extLst>
            <a:ext uri="{FF2B5EF4-FFF2-40B4-BE49-F238E27FC236}">
              <a16:creationId xmlns:a16="http://schemas.microsoft.com/office/drawing/2014/main" id="{02C05C58-706B-4E9E-A82A-1FBC22F380C0}"/>
            </a:ext>
          </a:extLst>
        </xdr:cNvPr>
        <xdr:cNvSpPr>
          <a:spLocks/>
        </xdr:cNvSpPr>
      </xdr:nvSpPr>
      <xdr:spPr bwMode="auto">
        <a:xfrm>
          <a:off x="4914900" y="1084894"/>
          <a:ext cx="3276601" cy="3580158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30</xdr:col>
      <xdr:colOff>289888</xdr:colOff>
      <xdr:row>7</xdr:row>
      <xdr:rowOff>0</xdr:rowOff>
    </xdr:from>
    <xdr:to>
      <xdr:col>34</xdr:col>
      <xdr:colOff>194339</xdr:colOff>
      <xdr:row>7</xdr:row>
      <xdr:rowOff>0</xdr:rowOff>
    </xdr:to>
    <xdr:sp macro="" textlink="">
      <xdr:nvSpPr>
        <xdr:cNvPr id="351" name="Line 463">
          <a:extLst>
            <a:ext uri="{FF2B5EF4-FFF2-40B4-BE49-F238E27FC236}">
              <a16:creationId xmlns:a16="http://schemas.microsoft.com/office/drawing/2014/main" id="{7265D122-D80B-49BF-AE7C-246EA490017D}"/>
            </a:ext>
          </a:extLst>
        </xdr:cNvPr>
        <xdr:cNvSpPr>
          <a:spLocks noChangeShapeType="1"/>
        </xdr:cNvSpPr>
      </xdr:nvSpPr>
      <xdr:spPr bwMode="auto">
        <a:xfrm rot="10800000" flipH="1">
          <a:off x="13929688" y="1266825"/>
          <a:ext cx="1838026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382780</xdr:colOff>
      <xdr:row>19</xdr:row>
      <xdr:rowOff>97971</xdr:rowOff>
    </xdr:from>
    <xdr:to>
      <xdr:col>34</xdr:col>
      <xdr:colOff>357580</xdr:colOff>
      <xdr:row>19</xdr:row>
      <xdr:rowOff>97971</xdr:rowOff>
    </xdr:to>
    <xdr:sp macro="" textlink="">
      <xdr:nvSpPr>
        <xdr:cNvPr id="352" name="Line 463">
          <a:extLst>
            <a:ext uri="{FF2B5EF4-FFF2-40B4-BE49-F238E27FC236}">
              <a16:creationId xmlns:a16="http://schemas.microsoft.com/office/drawing/2014/main" id="{E0205E8A-F875-4A95-B29A-598D49DBAE49}"/>
            </a:ext>
          </a:extLst>
        </xdr:cNvPr>
        <xdr:cNvSpPr>
          <a:spLocks noChangeShapeType="1"/>
        </xdr:cNvSpPr>
      </xdr:nvSpPr>
      <xdr:spPr bwMode="auto">
        <a:xfrm rot="10800000" flipH="1">
          <a:off x="15498955" y="3574596"/>
          <a:ext cx="4320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136070</xdr:colOff>
      <xdr:row>16</xdr:row>
      <xdr:rowOff>87923</xdr:rowOff>
    </xdr:from>
    <xdr:to>
      <xdr:col>10</xdr:col>
      <xdr:colOff>228599</xdr:colOff>
      <xdr:row>21</xdr:row>
      <xdr:rowOff>102577</xdr:rowOff>
    </xdr:to>
    <xdr:sp macro="" textlink="">
      <xdr:nvSpPr>
        <xdr:cNvPr id="353" name="Freeform 55">
          <a:extLst>
            <a:ext uri="{FF2B5EF4-FFF2-40B4-BE49-F238E27FC236}">
              <a16:creationId xmlns:a16="http://schemas.microsoft.com/office/drawing/2014/main" id="{41E8D2DC-6F0D-48EC-B4A3-F7DD64F16985}"/>
            </a:ext>
          </a:extLst>
        </xdr:cNvPr>
        <xdr:cNvSpPr>
          <a:spLocks/>
        </xdr:cNvSpPr>
      </xdr:nvSpPr>
      <xdr:spPr bwMode="auto">
        <a:xfrm>
          <a:off x="4574720" y="3021623"/>
          <a:ext cx="92529" cy="919529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23</xdr:col>
      <xdr:colOff>315056</xdr:colOff>
      <xdr:row>24</xdr:row>
      <xdr:rowOff>153867</xdr:rowOff>
    </xdr:from>
    <xdr:to>
      <xdr:col>25</xdr:col>
      <xdr:colOff>400781</xdr:colOff>
      <xdr:row>26</xdr:row>
      <xdr:rowOff>83109</xdr:rowOff>
    </xdr:to>
    <xdr:grpSp>
      <xdr:nvGrpSpPr>
        <xdr:cNvPr id="354" name="Group 355">
          <a:extLst>
            <a:ext uri="{FF2B5EF4-FFF2-40B4-BE49-F238E27FC236}">
              <a16:creationId xmlns:a16="http://schemas.microsoft.com/office/drawing/2014/main" id="{D0D0891E-9DCD-4090-BD34-76D1D65C9BDC}"/>
            </a:ext>
          </a:extLst>
        </xdr:cNvPr>
        <xdr:cNvGrpSpPr>
          <a:grpSpLocks/>
        </xdr:cNvGrpSpPr>
      </xdr:nvGrpSpPr>
      <xdr:grpSpPr bwMode="auto">
        <a:xfrm>
          <a:off x="10816369" y="4749680"/>
          <a:ext cx="1014412" cy="310242"/>
          <a:chOff x="1008071" y="7989449"/>
          <a:chExt cx="938142" cy="318008"/>
        </a:xfrm>
      </xdr:grpSpPr>
      <xdr:sp macro="" textlink="">
        <xdr:nvSpPr>
          <xdr:cNvPr id="355" name="Freeform 7">
            <a:extLst>
              <a:ext uri="{FF2B5EF4-FFF2-40B4-BE49-F238E27FC236}">
                <a16:creationId xmlns:a16="http://schemas.microsoft.com/office/drawing/2014/main" id="{B7EF0140-7B71-472F-9E19-7C6223FF6141}"/>
              </a:ext>
            </a:extLst>
          </xdr:cNvPr>
          <xdr:cNvSpPr>
            <a:spLocks/>
          </xdr:cNvSpPr>
        </xdr:nvSpPr>
        <xdr:spPr bwMode="auto">
          <a:xfrm>
            <a:off x="1024864" y="8147522"/>
            <a:ext cx="741370" cy="159935"/>
          </a:xfrm>
          <a:custGeom>
            <a:avLst/>
            <a:gdLst>
              <a:gd name="T0" fmla="*/ 0 w 133"/>
              <a:gd name="T1" fmla="*/ 0 h 17"/>
              <a:gd name="T2" fmla="*/ 0 w 133"/>
              <a:gd name="T3" fmla="*/ 159935 h 17"/>
              <a:gd name="T4" fmla="*/ 691202 w 133"/>
              <a:gd name="T5" fmla="*/ 159935 h 17"/>
              <a:gd name="T6" fmla="*/ 741370 w 133"/>
              <a:gd name="T7" fmla="*/ 75264 h 17"/>
              <a:gd name="T8" fmla="*/ 691202 w 133"/>
              <a:gd name="T9" fmla="*/ 0 h 17"/>
              <a:gd name="T10" fmla="*/ 0 w 133"/>
              <a:gd name="T11" fmla="*/ 0 h 17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  <a:gd name="T18" fmla="*/ 0 w 133"/>
              <a:gd name="T19" fmla="*/ 0 h 17"/>
              <a:gd name="T20" fmla="*/ 133 w 133"/>
              <a:gd name="T21" fmla="*/ 17 h 17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T18" t="T19" r="T20" b="T21"/>
            <a:pathLst>
              <a:path w="133" h="17">
                <a:moveTo>
                  <a:pt x="0" y="0"/>
                </a:moveTo>
                <a:lnTo>
                  <a:pt x="0" y="17"/>
                </a:lnTo>
                <a:lnTo>
                  <a:pt x="124" y="17"/>
                </a:lnTo>
                <a:lnTo>
                  <a:pt x="133" y="8"/>
                </a:lnTo>
                <a:lnTo>
                  <a:pt x="124" y="0"/>
                </a:lnTo>
                <a:lnTo>
                  <a:pt x="0" y="0"/>
                </a:lnTo>
                <a:close/>
              </a:path>
            </a:pathLst>
          </a:custGeom>
          <a:noFill/>
          <a:ln w="9525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56" name="Text Box 9">
            <a:extLst>
              <a:ext uri="{FF2B5EF4-FFF2-40B4-BE49-F238E27FC236}">
                <a16:creationId xmlns:a16="http://schemas.microsoft.com/office/drawing/2014/main" id="{FC496A8B-8BCF-4004-ADDB-09636AE15E0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49289" y="8148453"/>
            <a:ext cx="653857" cy="149066"/>
          </a:xfrm>
          <a:prstGeom prst="rect">
            <a:avLst/>
          </a:prstGeom>
          <a:noFill/>
          <a:ln>
            <a:noFill/>
          </a:ln>
        </xdr:spPr>
        <xdr:txBody>
          <a:bodyPr vertOverflow="clip" wrap="square" lIns="27432" tIns="22860" rIns="27432" bIns="22860" anchor="ctr"/>
          <a:lstStyle/>
          <a:p>
            <a:pPr algn="ctr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MINERAL</a:t>
            </a:r>
            <a:endParaRPr lang="es-CL"/>
          </a:p>
        </xdr:txBody>
      </xdr:sp>
      <xdr:sp macro="" textlink="">
        <xdr:nvSpPr>
          <xdr:cNvPr id="357" name="Text Box 10">
            <a:extLst>
              <a:ext uri="{FF2B5EF4-FFF2-40B4-BE49-F238E27FC236}">
                <a16:creationId xmlns:a16="http://schemas.microsoft.com/office/drawing/2014/main" id="{C94D9334-1FF0-4DB8-9C62-2EB8F5EA81CB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08071" y="7989449"/>
            <a:ext cx="938142" cy="188817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 PEBBLES</a:t>
            </a:r>
            <a:endParaRPr lang="es-CL"/>
          </a:p>
        </xdr:txBody>
      </xdr:sp>
    </xdr:grpSp>
    <xdr:clientData/>
  </xdr:twoCellAnchor>
  <xdr:twoCellAnchor>
    <xdr:from>
      <xdr:col>21</xdr:col>
      <xdr:colOff>149451</xdr:colOff>
      <xdr:row>5</xdr:row>
      <xdr:rowOff>155958</xdr:rowOff>
    </xdr:from>
    <xdr:to>
      <xdr:col>23</xdr:col>
      <xdr:colOff>247510</xdr:colOff>
      <xdr:row>7</xdr:row>
      <xdr:rowOff>73924</xdr:rowOff>
    </xdr:to>
    <xdr:grpSp>
      <xdr:nvGrpSpPr>
        <xdr:cNvPr id="358" name="Group 355">
          <a:extLst>
            <a:ext uri="{FF2B5EF4-FFF2-40B4-BE49-F238E27FC236}">
              <a16:creationId xmlns:a16="http://schemas.microsoft.com/office/drawing/2014/main" id="{5EAA1F5B-12B2-49EB-82EC-8E93269438A0}"/>
            </a:ext>
          </a:extLst>
        </xdr:cNvPr>
        <xdr:cNvGrpSpPr>
          <a:grpSpLocks/>
        </xdr:cNvGrpSpPr>
      </xdr:nvGrpSpPr>
      <xdr:grpSpPr bwMode="auto">
        <a:xfrm>
          <a:off x="9745889" y="1108458"/>
          <a:ext cx="1002934" cy="298966"/>
          <a:chOff x="893529" y="7989449"/>
          <a:chExt cx="970712" cy="306347"/>
        </a:xfrm>
      </xdr:grpSpPr>
      <xdr:sp macro="" textlink="">
        <xdr:nvSpPr>
          <xdr:cNvPr id="359" name="Freeform 7">
            <a:extLst>
              <a:ext uri="{FF2B5EF4-FFF2-40B4-BE49-F238E27FC236}">
                <a16:creationId xmlns:a16="http://schemas.microsoft.com/office/drawing/2014/main" id="{4B7C15BE-B32B-49DA-867B-29DD2EB6FB46}"/>
              </a:ext>
            </a:extLst>
          </xdr:cNvPr>
          <xdr:cNvSpPr>
            <a:spLocks/>
          </xdr:cNvSpPr>
        </xdr:nvSpPr>
        <xdr:spPr bwMode="auto">
          <a:xfrm>
            <a:off x="912280" y="8147523"/>
            <a:ext cx="853954" cy="148273"/>
          </a:xfrm>
          <a:custGeom>
            <a:avLst/>
            <a:gdLst>
              <a:gd name="T0" fmla="*/ 0 w 133"/>
              <a:gd name="T1" fmla="*/ 0 h 17"/>
              <a:gd name="T2" fmla="*/ 0 w 133"/>
              <a:gd name="T3" fmla="*/ 159935 h 17"/>
              <a:gd name="T4" fmla="*/ 691202 w 133"/>
              <a:gd name="T5" fmla="*/ 159935 h 17"/>
              <a:gd name="T6" fmla="*/ 741370 w 133"/>
              <a:gd name="T7" fmla="*/ 75264 h 17"/>
              <a:gd name="T8" fmla="*/ 691202 w 133"/>
              <a:gd name="T9" fmla="*/ 0 h 17"/>
              <a:gd name="T10" fmla="*/ 0 w 133"/>
              <a:gd name="T11" fmla="*/ 0 h 17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  <a:gd name="T18" fmla="*/ 0 w 133"/>
              <a:gd name="T19" fmla="*/ 0 h 17"/>
              <a:gd name="T20" fmla="*/ 133 w 133"/>
              <a:gd name="T21" fmla="*/ 17 h 17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T18" t="T19" r="T20" b="T21"/>
            <a:pathLst>
              <a:path w="133" h="17">
                <a:moveTo>
                  <a:pt x="0" y="0"/>
                </a:moveTo>
                <a:lnTo>
                  <a:pt x="0" y="17"/>
                </a:lnTo>
                <a:lnTo>
                  <a:pt x="124" y="17"/>
                </a:lnTo>
                <a:lnTo>
                  <a:pt x="133" y="8"/>
                </a:lnTo>
                <a:lnTo>
                  <a:pt x="124" y="0"/>
                </a:lnTo>
                <a:lnTo>
                  <a:pt x="0" y="0"/>
                </a:lnTo>
                <a:close/>
              </a:path>
            </a:pathLst>
          </a:custGeom>
          <a:noFill/>
          <a:ln w="9525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60" name="Text Box 9">
            <a:extLst>
              <a:ext uri="{FF2B5EF4-FFF2-40B4-BE49-F238E27FC236}">
                <a16:creationId xmlns:a16="http://schemas.microsoft.com/office/drawing/2014/main" id="{C5C5A2AA-AA81-4265-8704-C6F862690BEB}"/>
              </a:ext>
            </a:extLst>
          </xdr:cNvPr>
          <xdr:cNvSpPr txBox="1">
            <a:spLocks noChangeArrowheads="1"/>
          </xdr:cNvSpPr>
        </xdr:nvSpPr>
        <xdr:spPr bwMode="auto">
          <a:xfrm>
            <a:off x="893529" y="8167740"/>
            <a:ext cx="809617" cy="128047"/>
          </a:xfrm>
          <a:prstGeom prst="rect">
            <a:avLst/>
          </a:prstGeom>
          <a:noFill/>
          <a:ln>
            <a:noFill/>
          </a:ln>
        </xdr:spPr>
        <xdr:txBody>
          <a:bodyPr vertOverflow="clip" wrap="square" lIns="27432" tIns="22860" rIns="27432" bIns="22860" anchor="ctr"/>
          <a:lstStyle/>
          <a:p>
            <a:pPr algn="ctr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AGUA DE REP.</a:t>
            </a:r>
            <a:endParaRPr lang="es-CL"/>
          </a:p>
        </xdr:txBody>
      </xdr:sp>
      <xdr:sp macro="" textlink="">
        <xdr:nvSpPr>
          <xdr:cNvPr id="361" name="Text Box 10">
            <a:extLst>
              <a:ext uri="{FF2B5EF4-FFF2-40B4-BE49-F238E27FC236}">
                <a16:creationId xmlns:a16="http://schemas.microsoft.com/office/drawing/2014/main" id="{48AAE29F-67F4-458C-9BC6-C4B4CCA00D10}"/>
              </a:ext>
            </a:extLst>
          </xdr:cNvPr>
          <xdr:cNvSpPr txBox="1">
            <a:spLocks noChangeArrowheads="1"/>
          </xdr:cNvSpPr>
        </xdr:nvSpPr>
        <xdr:spPr bwMode="auto">
          <a:xfrm>
            <a:off x="926099" y="7989449"/>
            <a:ext cx="938142" cy="188817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DE DISTRIBUCIÓN</a:t>
            </a:r>
            <a:endParaRPr lang="es-CL"/>
          </a:p>
        </xdr:txBody>
      </xdr:sp>
    </xdr:grpSp>
    <xdr:clientData/>
  </xdr:twoCellAnchor>
  <xdr:twoCellAnchor>
    <xdr:from>
      <xdr:col>28</xdr:col>
      <xdr:colOff>364435</xdr:colOff>
      <xdr:row>20</xdr:row>
      <xdr:rowOff>8282</xdr:rowOff>
    </xdr:from>
    <xdr:to>
      <xdr:col>30</xdr:col>
      <xdr:colOff>381000</xdr:colOff>
      <xdr:row>21</xdr:row>
      <xdr:rowOff>140803</xdr:rowOff>
    </xdr:to>
    <xdr:sp macro="" textlink="">
      <xdr:nvSpPr>
        <xdr:cNvPr id="362" name="Freeform 55">
          <a:extLst>
            <a:ext uri="{FF2B5EF4-FFF2-40B4-BE49-F238E27FC236}">
              <a16:creationId xmlns:a16="http://schemas.microsoft.com/office/drawing/2014/main" id="{D6013A56-3EA6-49F2-9D8F-66C7E9A52C0E}"/>
            </a:ext>
          </a:extLst>
        </xdr:cNvPr>
        <xdr:cNvSpPr>
          <a:spLocks/>
        </xdr:cNvSpPr>
      </xdr:nvSpPr>
      <xdr:spPr bwMode="auto">
        <a:xfrm>
          <a:off x="13108885" y="3665882"/>
          <a:ext cx="911915" cy="313496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lgDash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25</xdr:col>
      <xdr:colOff>333671</xdr:colOff>
      <xdr:row>18</xdr:row>
      <xdr:rowOff>154885</xdr:rowOff>
    </xdr:from>
    <xdr:to>
      <xdr:col>28</xdr:col>
      <xdr:colOff>17599</xdr:colOff>
      <xdr:row>20</xdr:row>
      <xdr:rowOff>72852</xdr:rowOff>
    </xdr:to>
    <xdr:grpSp>
      <xdr:nvGrpSpPr>
        <xdr:cNvPr id="363" name="Group 355">
          <a:extLst>
            <a:ext uri="{FF2B5EF4-FFF2-40B4-BE49-F238E27FC236}">
              <a16:creationId xmlns:a16="http://schemas.microsoft.com/office/drawing/2014/main" id="{EC693C35-D776-49BA-82F1-B5FA993C6B04}"/>
            </a:ext>
          </a:extLst>
        </xdr:cNvPr>
        <xdr:cNvGrpSpPr>
          <a:grpSpLocks/>
        </xdr:cNvGrpSpPr>
      </xdr:nvGrpSpPr>
      <xdr:grpSpPr bwMode="auto">
        <a:xfrm>
          <a:off x="11763671" y="3607698"/>
          <a:ext cx="1041241" cy="298967"/>
          <a:chOff x="893529" y="7989449"/>
          <a:chExt cx="970712" cy="306347"/>
        </a:xfrm>
      </xdr:grpSpPr>
      <xdr:sp macro="" textlink="">
        <xdr:nvSpPr>
          <xdr:cNvPr id="364" name="Freeform 7">
            <a:extLst>
              <a:ext uri="{FF2B5EF4-FFF2-40B4-BE49-F238E27FC236}">
                <a16:creationId xmlns:a16="http://schemas.microsoft.com/office/drawing/2014/main" id="{FE49C56A-ABBF-43B3-9771-79F2EC8DBBEA}"/>
              </a:ext>
            </a:extLst>
          </xdr:cNvPr>
          <xdr:cNvSpPr>
            <a:spLocks/>
          </xdr:cNvSpPr>
        </xdr:nvSpPr>
        <xdr:spPr bwMode="auto">
          <a:xfrm>
            <a:off x="912280" y="8147523"/>
            <a:ext cx="853954" cy="148273"/>
          </a:xfrm>
          <a:custGeom>
            <a:avLst/>
            <a:gdLst>
              <a:gd name="T0" fmla="*/ 0 w 133"/>
              <a:gd name="T1" fmla="*/ 0 h 17"/>
              <a:gd name="T2" fmla="*/ 0 w 133"/>
              <a:gd name="T3" fmla="*/ 159935 h 17"/>
              <a:gd name="T4" fmla="*/ 691202 w 133"/>
              <a:gd name="T5" fmla="*/ 159935 h 17"/>
              <a:gd name="T6" fmla="*/ 741370 w 133"/>
              <a:gd name="T7" fmla="*/ 75264 h 17"/>
              <a:gd name="T8" fmla="*/ 691202 w 133"/>
              <a:gd name="T9" fmla="*/ 0 h 17"/>
              <a:gd name="T10" fmla="*/ 0 w 133"/>
              <a:gd name="T11" fmla="*/ 0 h 17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  <a:gd name="T18" fmla="*/ 0 w 133"/>
              <a:gd name="T19" fmla="*/ 0 h 17"/>
              <a:gd name="T20" fmla="*/ 133 w 133"/>
              <a:gd name="T21" fmla="*/ 17 h 17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T18" t="T19" r="T20" b="T21"/>
            <a:pathLst>
              <a:path w="133" h="17">
                <a:moveTo>
                  <a:pt x="0" y="0"/>
                </a:moveTo>
                <a:lnTo>
                  <a:pt x="0" y="17"/>
                </a:lnTo>
                <a:lnTo>
                  <a:pt x="124" y="17"/>
                </a:lnTo>
                <a:lnTo>
                  <a:pt x="133" y="8"/>
                </a:lnTo>
                <a:lnTo>
                  <a:pt x="124" y="0"/>
                </a:lnTo>
                <a:lnTo>
                  <a:pt x="0" y="0"/>
                </a:lnTo>
                <a:close/>
              </a:path>
            </a:pathLst>
          </a:custGeom>
          <a:noFill/>
          <a:ln w="9525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65" name="Text Box 9">
            <a:extLst>
              <a:ext uri="{FF2B5EF4-FFF2-40B4-BE49-F238E27FC236}">
                <a16:creationId xmlns:a16="http://schemas.microsoft.com/office/drawing/2014/main" id="{DE3B52FA-FFA9-4FD2-87E2-1276CFA9F270}"/>
              </a:ext>
            </a:extLst>
          </xdr:cNvPr>
          <xdr:cNvSpPr txBox="1">
            <a:spLocks noChangeArrowheads="1"/>
          </xdr:cNvSpPr>
        </xdr:nvSpPr>
        <xdr:spPr bwMode="auto">
          <a:xfrm>
            <a:off x="893529" y="8167740"/>
            <a:ext cx="809617" cy="128047"/>
          </a:xfrm>
          <a:prstGeom prst="rect">
            <a:avLst/>
          </a:prstGeom>
          <a:noFill/>
          <a:ln>
            <a:noFill/>
          </a:ln>
        </xdr:spPr>
        <xdr:txBody>
          <a:bodyPr vertOverflow="clip" wrap="square" lIns="27432" tIns="22860" rIns="27432" bIns="22860" anchor="ctr"/>
          <a:lstStyle/>
          <a:p>
            <a:pPr algn="ctr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AGUA DE REP.</a:t>
            </a:r>
            <a:endParaRPr lang="es-CL"/>
          </a:p>
        </xdr:txBody>
      </xdr:sp>
      <xdr:sp macro="" textlink="">
        <xdr:nvSpPr>
          <xdr:cNvPr id="366" name="Text Box 10">
            <a:extLst>
              <a:ext uri="{FF2B5EF4-FFF2-40B4-BE49-F238E27FC236}">
                <a16:creationId xmlns:a16="http://schemas.microsoft.com/office/drawing/2014/main" id="{1A598739-52F6-43B1-8921-7D4BBE393737}"/>
              </a:ext>
            </a:extLst>
          </xdr:cNvPr>
          <xdr:cNvSpPr txBox="1">
            <a:spLocks noChangeArrowheads="1"/>
          </xdr:cNvSpPr>
        </xdr:nvSpPr>
        <xdr:spPr bwMode="auto">
          <a:xfrm>
            <a:off x="926099" y="7989449"/>
            <a:ext cx="938142" cy="188817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DE DISTRIBUCIÓN</a:t>
            </a:r>
            <a:endParaRPr lang="es-CL"/>
          </a:p>
        </xdr:txBody>
      </xdr:sp>
    </xdr:grpSp>
    <xdr:clientData/>
  </xdr:twoCellAnchor>
  <xdr:twoCellAnchor>
    <xdr:from>
      <xdr:col>23</xdr:col>
      <xdr:colOff>9525</xdr:colOff>
      <xdr:row>46</xdr:row>
      <xdr:rowOff>131669</xdr:rowOff>
    </xdr:from>
    <xdr:to>
      <xdr:col>24</xdr:col>
      <xdr:colOff>371475</xdr:colOff>
      <xdr:row>47</xdr:row>
      <xdr:rowOff>174456</xdr:rowOff>
    </xdr:to>
    <xdr:sp macro="" textlink="">
      <xdr:nvSpPr>
        <xdr:cNvPr id="367" name="Freeform 55">
          <a:extLst>
            <a:ext uri="{FF2B5EF4-FFF2-40B4-BE49-F238E27FC236}">
              <a16:creationId xmlns:a16="http://schemas.microsoft.com/office/drawing/2014/main" id="{95F31D22-03DB-4251-9A1B-D13D1436FC0C}"/>
            </a:ext>
          </a:extLst>
        </xdr:cNvPr>
        <xdr:cNvSpPr>
          <a:spLocks/>
        </xdr:cNvSpPr>
      </xdr:nvSpPr>
      <xdr:spPr bwMode="auto">
        <a:xfrm flipV="1">
          <a:off x="10458450" y="8532719"/>
          <a:ext cx="819150" cy="223762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13</xdr:col>
      <xdr:colOff>447674</xdr:colOff>
      <xdr:row>40</xdr:row>
      <xdr:rowOff>9525</xdr:rowOff>
    </xdr:from>
    <xdr:to>
      <xdr:col>18</xdr:col>
      <xdr:colOff>146538</xdr:colOff>
      <xdr:row>42</xdr:row>
      <xdr:rowOff>146537</xdr:rowOff>
    </xdr:to>
    <xdr:sp macro="" textlink="">
      <xdr:nvSpPr>
        <xdr:cNvPr id="368" name="Freeform 55">
          <a:extLst>
            <a:ext uri="{FF2B5EF4-FFF2-40B4-BE49-F238E27FC236}">
              <a16:creationId xmlns:a16="http://schemas.microsoft.com/office/drawing/2014/main" id="{A00B4D0E-716D-4ECD-959C-5C5D17FF0A6D}"/>
            </a:ext>
          </a:extLst>
        </xdr:cNvPr>
        <xdr:cNvSpPr>
          <a:spLocks/>
        </xdr:cNvSpPr>
      </xdr:nvSpPr>
      <xdr:spPr bwMode="auto">
        <a:xfrm>
          <a:off x="6362699" y="7315200"/>
          <a:ext cx="1975339" cy="498962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0</xdr:colOff>
      <xdr:row>38</xdr:row>
      <xdr:rowOff>161897</xdr:rowOff>
    </xdr:from>
    <xdr:to>
      <xdr:col>14</xdr:col>
      <xdr:colOff>98060</xdr:colOff>
      <xdr:row>40</xdr:row>
      <xdr:rowOff>79864</xdr:rowOff>
    </xdr:to>
    <xdr:grpSp>
      <xdr:nvGrpSpPr>
        <xdr:cNvPr id="369" name="Group 355">
          <a:extLst>
            <a:ext uri="{FF2B5EF4-FFF2-40B4-BE49-F238E27FC236}">
              <a16:creationId xmlns:a16="http://schemas.microsoft.com/office/drawing/2014/main" id="{6478CEA0-B376-42FA-9C59-912F5851687D}"/>
            </a:ext>
          </a:extLst>
        </xdr:cNvPr>
        <xdr:cNvGrpSpPr>
          <a:grpSpLocks/>
        </xdr:cNvGrpSpPr>
      </xdr:nvGrpSpPr>
      <xdr:grpSpPr bwMode="auto">
        <a:xfrm>
          <a:off x="5524500" y="7424710"/>
          <a:ext cx="1002935" cy="322779"/>
          <a:chOff x="893529" y="8009513"/>
          <a:chExt cx="970712" cy="286283"/>
        </a:xfrm>
      </xdr:grpSpPr>
      <xdr:sp macro="" textlink="">
        <xdr:nvSpPr>
          <xdr:cNvPr id="370" name="Freeform 7">
            <a:extLst>
              <a:ext uri="{FF2B5EF4-FFF2-40B4-BE49-F238E27FC236}">
                <a16:creationId xmlns:a16="http://schemas.microsoft.com/office/drawing/2014/main" id="{79AFF4FB-E63D-4A70-A658-2C47E0CC2D21}"/>
              </a:ext>
            </a:extLst>
          </xdr:cNvPr>
          <xdr:cNvSpPr>
            <a:spLocks/>
          </xdr:cNvSpPr>
        </xdr:nvSpPr>
        <xdr:spPr bwMode="auto">
          <a:xfrm>
            <a:off x="912280" y="8147523"/>
            <a:ext cx="853954" cy="148273"/>
          </a:xfrm>
          <a:custGeom>
            <a:avLst/>
            <a:gdLst>
              <a:gd name="T0" fmla="*/ 0 w 133"/>
              <a:gd name="T1" fmla="*/ 0 h 17"/>
              <a:gd name="T2" fmla="*/ 0 w 133"/>
              <a:gd name="T3" fmla="*/ 159935 h 17"/>
              <a:gd name="T4" fmla="*/ 691202 w 133"/>
              <a:gd name="T5" fmla="*/ 159935 h 17"/>
              <a:gd name="T6" fmla="*/ 741370 w 133"/>
              <a:gd name="T7" fmla="*/ 75264 h 17"/>
              <a:gd name="T8" fmla="*/ 691202 w 133"/>
              <a:gd name="T9" fmla="*/ 0 h 17"/>
              <a:gd name="T10" fmla="*/ 0 w 133"/>
              <a:gd name="T11" fmla="*/ 0 h 17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  <a:gd name="T18" fmla="*/ 0 w 133"/>
              <a:gd name="T19" fmla="*/ 0 h 17"/>
              <a:gd name="T20" fmla="*/ 133 w 133"/>
              <a:gd name="T21" fmla="*/ 17 h 17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T18" t="T19" r="T20" b="T21"/>
            <a:pathLst>
              <a:path w="133" h="17">
                <a:moveTo>
                  <a:pt x="0" y="0"/>
                </a:moveTo>
                <a:lnTo>
                  <a:pt x="0" y="17"/>
                </a:lnTo>
                <a:lnTo>
                  <a:pt x="124" y="17"/>
                </a:lnTo>
                <a:lnTo>
                  <a:pt x="133" y="8"/>
                </a:lnTo>
                <a:lnTo>
                  <a:pt x="124" y="0"/>
                </a:lnTo>
                <a:lnTo>
                  <a:pt x="0" y="0"/>
                </a:lnTo>
                <a:close/>
              </a:path>
            </a:pathLst>
          </a:custGeom>
          <a:noFill/>
          <a:ln w="9525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71" name="Text Box 9">
            <a:extLst>
              <a:ext uri="{FF2B5EF4-FFF2-40B4-BE49-F238E27FC236}">
                <a16:creationId xmlns:a16="http://schemas.microsoft.com/office/drawing/2014/main" id="{DC6637B3-91D3-47AC-B9F4-80FB63670ECE}"/>
              </a:ext>
            </a:extLst>
          </xdr:cNvPr>
          <xdr:cNvSpPr txBox="1">
            <a:spLocks noChangeArrowheads="1"/>
          </xdr:cNvSpPr>
        </xdr:nvSpPr>
        <xdr:spPr bwMode="auto">
          <a:xfrm>
            <a:off x="893529" y="8167740"/>
            <a:ext cx="809617" cy="128047"/>
          </a:xfrm>
          <a:prstGeom prst="rect">
            <a:avLst/>
          </a:prstGeom>
          <a:noFill/>
          <a:ln>
            <a:noFill/>
          </a:ln>
        </xdr:spPr>
        <xdr:txBody>
          <a:bodyPr vertOverflow="clip" wrap="square" lIns="27432" tIns="22860" rIns="27432" bIns="22860" anchor="ctr"/>
          <a:lstStyle/>
          <a:p>
            <a:pPr algn="ctr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AGUA DE REP.</a:t>
            </a:r>
            <a:endParaRPr lang="es-CL"/>
          </a:p>
        </xdr:txBody>
      </xdr:sp>
      <xdr:sp macro="" textlink="">
        <xdr:nvSpPr>
          <xdr:cNvPr id="372" name="Text Box 10">
            <a:extLst>
              <a:ext uri="{FF2B5EF4-FFF2-40B4-BE49-F238E27FC236}">
                <a16:creationId xmlns:a16="http://schemas.microsoft.com/office/drawing/2014/main" id="{CB938646-078A-40CF-8D81-C41799E33FB8}"/>
              </a:ext>
            </a:extLst>
          </xdr:cNvPr>
          <xdr:cNvSpPr txBox="1">
            <a:spLocks noChangeArrowheads="1"/>
          </xdr:cNvSpPr>
        </xdr:nvSpPr>
        <xdr:spPr bwMode="auto">
          <a:xfrm>
            <a:off x="926099" y="8009513"/>
            <a:ext cx="938142" cy="188817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DE DISTRIBUCIÓN</a:t>
            </a:r>
            <a:endParaRPr lang="es-CL"/>
          </a:p>
        </xdr:txBody>
      </xdr:sp>
    </xdr:grpSp>
    <xdr:clientData/>
  </xdr:twoCellAnchor>
  <xdr:twoCellAnchor>
    <xdr:from>
      <xdr:col>17</xdr:col>
      <xdr:colOff>428625</xdr:colOff>
      <xdr:row>29</xdr:row>
      <xdr:rowOff>0</xdr:rowOff>
    </xdr:from>
    <xdr:to>
      <xdr:col>18</xdr:col>
      <xdr:colOff>370355</xdr:colOff>
      <xdr:row>29</xdr:row>
      <xdr:rowOff>0</xdr:rowOff>
    </xdr:to>
    <xdr:cxnSp macro="">
      <xdr:nvCxnSpPr>
        <xdr:cNvPr id="373" name="Straight Connector 372">
          <a:extLst>
            <a:ext uri="{FF2B5EF4-FFF2-40B4-BE49-F238E27FC236}">
              <a16:creationId xmlns:a16="http://schemas.microsoft.com/office/drawing/2014/main" id="{141C1C6B-2190-417C-8C6A-FA7DAE8B0941}"/>
            </a:ext>
          </a:extLst>
        </xdr:cNvPr>
        <xdr:cNvCxnSpPr/>
      </xdr:nvCxnSpPr>
      <xdr:spPr>
        <a:xfrm>
          <a:off x="8162925" y="5286375"/>
          <a:ext cx="39893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121227</xdr:colOff>
      <xdr:row>2</xdr:row>
      <xdr:rowOff>17317</xdr:rowOff>
    </xdr:from>
    <xdr:to>
      <xdr:col>35</xdr:col>
      <xdr:colOff>133350</xdr:colOff>
      <xdr:row>57</xdr:row>
      <xdr:rowOff>13606</xdr:rowOff>
    </xdr:to>
    <xdr:sp macro="" textlink="">
      <xdr:nvSpPr>
        <xdr:cNvPr id="374" name="Rectangle 373">
          <a:extLst>
            <a:ext uri="{FF2B5EF4-FFF2-40B4-BE49-F238E27FC236}">
              <a16:creationId xmlns:a16="http://schemas.microsoft.com/office/drawing/2014/main" id="{929685D9-3E13-47C0-A751-6D03554BE2E6}"/>
            </a:ext>
          </a:extLst>
        </xdr:cNvPr>
        <xdr:cNvSpPr/>
      </xdr:nvSpPr>
      <xdr:spPr>
        <a:xfrm>
          <a:off x="121227" y="379267"/>
          <a:ext cx="16033173" cy="10026114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27</xdr:col>
      <xdr:colOff>370914</xdr:colOff>
      <xdr:row>48</xdr:row>
      <xdr:rowOff>22679</xdr:rowOff>
    </xdr:from>
    <xdr:to>
      <xdr:col>35</xdr:col>
      <xdr:colOff>127621</xdr:colOff>
      <xdr:row>57</xdr:row>
      <xdr:rowOff>34018</xdr:rowOff>
    </xdr:to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EB95657E-C69E-4322-9254-095F60B99AFC}"/>
            </a:ext>
          </a:extLst>
        </xdr:cNvPr>
        <xdr:cNvSpPr txBox="1"/>
      </xdr:nvSpPr>
      <xdr:spPr>
        <a:xfrm>
          <a:off x="12640021" y="8821965"/>
          <a:ext cx="3464654" cy="16441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400" b="1">
              <a:latin typeface="Arial" panose="020B0604020202020204" pitchFamily="34" charset="0"/>
              <a:cs typeface="Arial" panose="020B0604020202020204" pitchFamily="34" charset="0"/>
            </a:rPr>
            <a:t>MINERA CANDELARIA</a:t>
          </a:r>
        </a:p>
        <a:p>
          <a:pPr algn="ctr"/>
          <a:r>
            <a:rPr lang="en-US" sz="1200">
              <a:latin typeface="Arial" panose="020B0604020202020204" pitchFamily="34" charset="0"/>
              <a:cs typeface="Arial" panose="020B0604020202020204" pitchFamily="34" charset="0"/>
            </a:rPr>
            <a:t>2 LÍNEAS DE MOLIENDA</a:t>
          </a:r>
        </a:p>
        <a:p>
          <a:pPr algn="ctr"/>
          <a:endParaRPr lang="en-US" sz="14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BALANCE CIRCUITO MOLIENDA</a:t>
          </a:r>
        </a:p>
        <a:p>
          <a:pPr algn="ctr"/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79,000 TPD, 93 % RUN TIME</a:t>
          </a:r>
        </a:p>
        <a:p>
          <a:pPr algn="ctr"/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450% CARGA CIRCULANTE</a:t>
          </a:r>
        </a:p>
        <a:p>
          <a:pPr algn="ctr"/>
          <a:endParaRPr lang="en-US" sz="11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Rev. A2 / Diseño AVS</a:t>
          </a:r>
        </a:p>
      </xdr:txBody>
    </xdr:sp>
    <xdr:clientData/>
  </xdr:twoCellAnchor>
  <xdr:twoCellAnchor>
    <xdr:from>
      <xdr:col>21</xdr:col>
      <xdr:colOff>369794</xdr:colOff>
      <xdr:row>47</xdr:row>
      <xdr:rowOff>63787</xdr:rowOff>
    </xdr:from>
    <xdr:to>
      <xdr:col>23</xdr:col>
      <xdr:colOff>11206</xdr:colOff>
      <xdr:row>48</xdr:row>
      <xdr:rowOff>119816</xdr:rowOff>
    </xdr:to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A279B019-90DD-427B-BFBB-94654C929B98}"/>
            </a:ext>
          </a:extLst>
        </xdr:cNvPr>
        <xdr:cNvSpPr txBox="1"/>
      </xdr:nvSpPr>
      <xdr:spPr>
        <a:xfrm>
          <a:off x="9904319" y="8645812"/>
          <a:ext cx="555812" cy="23700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/>
            <a:t>GSW</a:t>
          </a:r>
        </a:p>
      </xdr:txBody>
    </xdr:sp>
    <xdr:clientData/>
  </xdr:twoCellAnchor>
  <xdr:twoCellAnchor>
    <xdr:from>
      <xdr:col>13</xdr:col>
      <xdr:colOff>268941</xdr:colOff>
      <xdr:row>17</xdr:row>
      <xdr:rowOff>0</xdr:rowOff>
    </xdr:from>
    <xdr:to>
      <xdr:col>14</xdr:col>
      <xdr:colOff>179294</xdr:colOff>
      <xdr:row>21</xdr:row>
      <xdr:rowOff>145676</xdr:rowOff>
    </xdr:to>
    <xdr:cxnSp macro="">
      <xdr:nvCxnSpPr>
        <xdr:cNvPr id="377" name="Straight Connector 376">
          <a:extLst>
            <a:ext uri="{FF2B5EF4-FFF2-40B4-BE49-F238E27FC236}">
              <a16:creationId xmlns:a16="http://schemas.microsoft.com/office/drawing/2014/main" id="{7DA78FED-A63D-481D-9EC1-E0853C1155CD}"/>
            </a:ext>
          </a:extLst>
        </xdr:cNvPr>
        <xdr:cNvCxnSpPr/>
      </xdr:nvCxnSpPr>
      <xdr:spPr>
        <a:xfrm flipH="1">
          <a:off x="6183966" y="3114675"/>
          <a:ext cx="367553" cy="8695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140805</xdr:colOff>
      <xdr:row>7</xdr:row>
      <xdr:rowOff>7326</xdr:rowOff>
    </xdr:from>
    <xdr:to>
      <xdr:col>27</xdr:col>
      <xdr:colOff>231914</xdr:colOff>
      <xdr:row>9</xdr:row>
      <xdr:rowOff>41411</xdr:rowOff>
    </xdr:to>
    <xdr:sp macro="" textlink="">
      <xdr:nvSpPr>
        <xdr:cNvPr id="378" name="Freeform 55">
          <a:extLst>
            <a:ext uri="{FF2B5EF4-FFF2-40B4-BE49-F238E27FC236}">
              <a16:creationId xmlns:a16="http://schemas.microsoft.com/office/drawing/2014/main" id="{D6E8D717-C9CC-4AF4-9597-47EEF617F7A5}"/>
            </a:ext>
          </a:extLst>
        </xdr:cNvPr>
        <xdr:cNvSpPr>
          <a:spLocks/>
        </xdr:cNvSpPr>
      </xdr:nvSpPr>
      <xdr:spPr bwMode="auto">
        <a:xfrm>
          <a:off x="10589730" y="1274151"/>
          <a:ext cx="1929434" cy="396035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lgDash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27</xdr:col>
      <xdr:colOff>372391</xdr:colOff>
      <xdr:row>20</xdr:row>
      <xdr:rowOff>8281</xdr:rowOff>
    </xdr:from>
    <xdr:to>
      <xdr:col>28</xdr:col>
      <xdr:colOff>240847</xdr:colOff>
      <xdr:row>20</xdr:row>
      <xdr:rowOff>8281</xdr:rowOff>
    </xdr:to>
    <xdr:sp macro="" textlink="">
      <xdr:nvSpPr>
        <xdr:cNvPr id="379" name="Line 463">
          <a:extLst>
            <a:ext uri="{FF2B5EF4-FFF2-40B4-BE49-F238E27FC236}">
              <a16:creationId xmlns:a16="http://schemas.microsoft.com/office/drawing/2014/main" id="{B9711D83-6BA2-4EAF-A21B-658574DAC386}"/>
            </a:ext>
          </a:extLst>
        </xdr:cNvPr>
        <xdr:cNvSpPr>
          <a:spLocks noChangeShapeType="1"/>
        </xdr:cNvSpPr>
      </xdr:nvSpPr>
      <xdr:spPr bwMode="auto">
        <a:xfrm rot="10800000" flipH="1">
          <a:off x="12659641" y="3665881"/>
          <a:ext cx="325656" cy="0"/>
        </a:xfrm>
        <a:prstGeom prst="line">
          <a:avLst/>
        </a:prstGeom>
        <a:noFill/>
        <a:ln w="12700">
          <a:solidFill>
            <a:srgbClr val="000000"/>
          </a:solidFill>
          <a:prstDash val="lgDash"/>
          <a:round/>
          <a:headEnd/>
          <a:tailEnd type="non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411039</xdr:colOff>
      <xdr:row>36</xdr:row>
      <xdr:rowOff>1466</xdr:rowOff>
    </xdr:from>
    <xdr:to>
      <xdr:col>18</xdr:col>
      <xdr:colOff>263769</xdr:colOff>
      <xdr:row>42</xdr:row>
      <xdr:rowOff>139211</xdr:rowOff>
    </xdr:to>
    <xdr:sp macro="" textlink="">
      <xdr:nvSpPr>
        <xdr:cNvPr id="380" name="Freeform 55">
          <a:extLst>
            <a:ext uri="{FF2B5EF4-FFF2-40B4-BE49-F238E27FC236}">
              <a16:creationId xmlns:a16="http://schemas.microsoft.com/office/drawing/2014/main" id="{AC34F533-3A93-4E98-9BE3-AF0F5D295320}"/>
            </a:ext>
          </a:extLst>
        </xdr:cNvPr>
        <xdr:cNvSpPr>
          <a:spLocks/>
        </xdr:cNvSpPr>
      </xdr:nvSpPr>
      <xdr:spPr bwMode="auto">
        <a:xfrm>
          <a:off x="5878389" y="6554666"/>
          <a:ext cx="2576880" cy="1252170"/>
        </a:xfrm>
        <a:custGeom>
          <a:avLst/>
          <a:gdLst>
            <a:gd name="T0" fmla="*/ 0 w 170"/>
            <a:gd name="T1" fmla="*/ 0 h 131"/>
            <a:gd name="T2" fmla="*/ 2147483647 w 170"/>
            <a:gd name="T3" fmla="*/ 0 h 131"/>
            <a:gd name="T4" fmla="*/ 2147483647 w 170"/>
            <a:gd name="T5" fmla="*/ 2147483647 h 131"/>
            <a:gd name="T6" fmla="*/ 0 60000 65536"/>
            <a:gd name="T7" fmla="*/ 0 60000 65536"/>
            <a:gd name="T8" fmla="*/ 0 60000 65536"/>
            <a:gd name="T9" fmla="*/ 0 w 170"/>
            <a:gd name="T10" fmla="*/ 0 h 131"/>
            <a:gd name="T11" fmla="*/ 170 w 170"/>
            <a:gd name="T12" fmla="*/ 131 h 131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0" h="131">
              <a:moveTo>
                <a:pt x="0" y="0"/>
              </a:moveTo>
              <a:lnTo>
                <a:pt x="170" y="0"/>
              </a:lnTo>
              <a:lnTo>
                <a:pt x="170" y="131"/>
              </a:lnTo>
            </a:path>
          </a:pathLst>
        </a:custGeom>
        <a:noFill/>
        <a:ln w="12700" cap="flat" cmpd="sng">
          <a:solidFill>
            <a:srgbClr val="000000"/>
          </a:solidFill>
          <a:prstDash val="lgDash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0</xdr:colOff>
      <xdr:row>34</xdr:row>
      <xdr:rowOff>124530</xdr:rowOff>
    </xdr:from>
    <xdr:to>
      <xdr:col>13</xdr:col>
      <xdr:colOff>234461</xdr:colOff>
      <xdr:row>36</xdr:row>
      <xdr:rowOff>71804</xdr:rowOff>
    </xdr:to>
    <xdr:grpSp>
      <xdr:nvGrpSpPr>
        <xdr:cNvPr id="381" name="Group 355">
          <a:extLst>
            <a:ext uri="{FF2B5EF4-FFF2-40B4-BE49-F238E27FC236}">
              <a16:creationId xmlns:a16="http://schemas.microsoft.com/office/drawing/2014/main" id="{EB2EE730-BBD2-4910-9778-292C7CC4DB73}"/>
            </a:ext>
          </a:extLst>
        </xdr:cNvPr>
        <xdr:cNvGrpSpPr>
          <a:grpSpLocks/>
        </xdr:cNvGrpSpPr>
      </xdr:nvGrpSpPr>
      <xdr:grpSpPr bwMode="auto">
        <a:xfrm>
          <a:off x="4976813" y="6625343"/>
          <a:ext cx="1234586" cy="328274"/>
          <a:chOff x="893529" y="8009513"/>
          <a:chExt cx="1131684" cy="286283"/>
        </a:xfrm>
      </xdr:grpSpPr>
      <xdr:sp macro="" textlink="">
        <xdr:nvSpPr>
          <xdr:cNvPr id="382" name="Freeform 7">
            <a:extLst>
              <a:ext uri="{FF2B5EF4-FFF2-40B4-BE49-F238E27FC236}">
                <a16:creationId xmlns:a16="http://schemas.microsoft.com/office/drawing/2014/main" id="{ACE72283-D51B-47B2-AB15-408F0BAF8605}"/>
              </a:ext>
            </a:extLst>
          </xdr:cNvPr>
          <xdr:cNvSpPr>
            <a:spLocks/>
          </xdr:cNvSpPr>
        </xdr:nvSpPr>
        <xdr:spPr bwMode="auto">
          <a:xfrm>
            <a:off x="912280" y="8147523"/>
            <a:ext cx="853954" cy="148273"/>
          </a:xfrm>
          <a:custGeom>
            <a:avLst/>
            <a:gdLst>
              <a:gd name="T0" fmla="*/ 0 w 133"/>
              <a:gd name="T1" fmla="*/ 0 h 17"/>
              <a:gd name="T2" fmla="*/ 0 w 133"/>
              <a:gd name="T3" fmla="*/ 159935 h 17"/>
              <a:gd name="T4" fmla="*/ 691202 w 133"/>
              <a:gd name="T5" fmla="*/ 159935 h 17"/>
              <a:gd name="T6" fmla="*/ 741370 w 133"/>
              <a:gd name="T7" fmla="*/ 75264 h 17"/>
              <a:gd name="T8" fmla="*/ 691202 w 133"/>
              <a:gd name="T9" fmla="*/ 0 h 17"/>
              <a:gd name="T10" fmla="*/ 0 w 133"/>
              <a:gd name="T11" fmla="*/ 0 h 17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  <a:gd name="T18" fmla="*/ 0 w 133"/>
              <a:gd name="T19" fmla="*/ 0 h 17"/>
              <a:gd name="T20" fmla="*/ 133 w 133"/>
              <a:gd name="T21" fmla="*/ 17 h 17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T18" t="T19" r="T20" b="T21"/>
            <a:pathLst>
              <a:path w="133" h="17">
                <a:moveTo>
                  <a:pt x="0" y="0"/>
                </a:moveTo>
                <a:lnTo>
                  <a:pt x="0" y="17"/>
                </a:lnTo>
                <a:lnTo>
                  <a:pt x="124" y="17"/>
                </a:lnTo>
                <a:lnTo>
                  <a:pt x="133" y="8"/>
                </a:lnTo>
                <a:lnTo>
                  <a:pt x="124" y="0"/>
                </a:lnTo>
                <a:lnTo>
                  <a:pt x="0" y="0"/>
                </a:lnTo>
                <a:close/>
              </a:path>
            </a:pathLst>
          </a:custGeom>
          <a:noFill/>
          <a:ln w="9525" cap="flat" cmpd="sng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83" name="Text Box 9">
            <a:extLst>
              <a:ext uri="{FF2B5EF4-FFF2-40B4-BE49-F238E27FC236}">
                <a16:creationId xmlns:a16="http://schemas.microsoft.com/office/drawing/2014/main" id="{7C0D7865-6378-4E93-AFD0-535E5AB69F1A}"/>
              </a:ext>
            </a:extLst>
          </xdr:cNvPr>
          <xdr:cNvSpPr txBox="1">
            <a:spLocks noChangeArrowheads="1"/>
          </xdr:cNvSpPr>
        </xdr:nvSpPr>
        <xdr:spPr bwMode="auto">
          <a:xfrm>
            <a:off x="893529" y="8167740"/>
            <a:ext cx="809617" cy="128047"/>
          </a:xfrm>
          <a:prstGeom prst="rect">
            <a:avLst/>
          </a:prstGeom>
          <a:noFill/>
          <a:ln>
            <a:noFill/>
          </a:ln>
        </xdr:spPr>
        <xdr:txBody>
          <a:bodyPr vertOverflow="clip" wrap="square" lIns="27432" tIns="22860" rIns="27432" bIns="22860" anchor="ctr"/>
          <a:lstStyle/>
          <a:p>
            <a:pPr algn="ctr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PEBBLES</a:t>
            </a:r>
            <a:endParaRPr lang="es-CL"/>
          </a:p>
        </xdr:txBody>
      </xdr:sp>
      <xdr:sp macro="" textlink="">
        <xdr:nvSpPr>
          <xdr:cNvPr id="384" name="Text Box 10">
            <a:extLst>
              <a:ext uri="{FF2B5EF4-FFF2-40B4-BE49-F238E27FC236}">
                <a16:creationId xmlns:a16="http://schemas.microsoft.com/office/drawing/2014/main" id="{5DE94625-D58B-473D-8623-3ED4E29B8F18}"/>
              </a:ext>
            </a:extLst>
          </xdr:cNvPr>
          <xdr:cNvSpPr txBox="1">
            <a:spLocks noChangeArrowheads="1"/>
          </xdr:cNvSpPr>
        </xdr:nvSpPr>
        <xdr:spPr bwMode="auto">
          <a:xfrm>
            <a:off x="926098" y="8009513"/>
            <a:ext cx="1099115" cy="188817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s-CL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PEBBLES MOLIDOS</a:t>
            </a:r>
            <a:endParaRPr lang="es-CL"/>
          </a:p>
        </xdr:txBody>
      </xdr:sp>
    </xdr:grpSp>
    <xdr:clientData/>
  </xdr:twoCellAnchor>
  <xdr:twoCellAnchor>
    <xdr:from>
      <xdr:col>2</xdr:col>
      <xdr:colOff>242455</xdr:colOff>
      <xdr:row>28</xdr:row>
      <xdr:rowOff>90055</xdr:rowOff>
    </xdr:from>
    <xdr:to>
      <xdr:col>6</xdr:col>
      <xdr:colOff>305839</xdr:colOff>
      <xdr:row>36</xdr:row>
      <xdr:rowOff>138510</xdr:rowOff>
    </xdr:to>
    <xdr:grpSp>
      <xdr:nvGrpSpPr>
        <xdr:cNvPr id="385" name="Group 384">
          <a:extLst>
            <a:ext uri="{FF2B5EF4-FFF2-40B4-BE49-F238E27FC236}">
              <a16:creationId xmlns:a16="http://schemas.microsoft.com/office/drawing/2014/main" id="{EFD38708-2984-49C9-8A48-5415E3C017AD}"/>
            </a:ext>
          </a:extLst>
        </xdr:cNvPr>
        <xdr:cNvGrpSpPr/>
      </xdr:nvGrpSpPr>
      <xdr:grpSpPr>
        <a:xfrm>
          <a:off x="980643" y="5447868"/>
          <a:ext cx="1944571" cy="1572455"/>
          <a:chOff x="1207771" y="1304151"/>
          <a:chExt cx="1916429" cy="1433910"/>
        </a:xfrm>
      </xdr:grpSpPr>
      <xdr:sp macro="" textlink="">
        <xdr:nvSpPr>
          <xdr:cNvPr id="386" name="TextBox 4">
            <a:extLst>
              <a:ext uri="{FF2B5EF4-FFF2-40B4-BE49-F238E27FC236}">
                <a16:creationId xmlns:a16="http://schemas.microsoft.com/office/drawing/2014/main" id="{7271650C-6D93-474C-8D0B-0F46D1752776}"/>
              </a:ext>
            </a:extLst>
          </xdr:cNvPr>
          <xdr:cNvSpPr txBox="1"/>
        </xdr:nvSpPr>
        <xdr:spPr>
          <a:xfrm>
            <a:off x="1219200" y="1652201"/>
            <a:ext cx="914400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s-CL" sz="1200">
                <a:latin typeface="Arial" panose="020B0604020202020204" pitchFamily="34" charset="0"/>
                <a:cs typeface="Arial" panose="020B0604020202020204" pitchFamily="34" charset="0"/>
              </a:rPr>
              <a:t>t/h Solids</a:t>
            </a:r>
            <a:endParaRPr lang="en-US" sz="120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87" name="Rectangle 386">
            <a:extLst>
              <a:ext uri="{FF2B5EF4-FFF2-40B4-BE49-F238E27FC236}">
                <a16:creationId xmlns:a16="http://schemas.microsoft.com/office/drawing/2014/main" id="{559CBB71-21AD-43D5-8914-0C4E9D31F213}"/>
              </a:ext>
            </a:extLst>
          </xdr:cNvPr>
          <xdr:cNvSpPr/>
        </xdr:nvSpPr>
        <xdr:spPr>
          <a:xfrm>
            <a:off x="1219199" y="1581150"/>
            <a:ext cx="1752599" cy="838200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cxnSp macro="">
        <xdr:nvCxnSpPr>
          <xdr:cNvPr id="388" name="Straight Connector 387">
            <a:extLst>
              <a:ext uri="{FF2B5EF4-FFF2-40B4-BE49-F238E27FC236}">
                <a16:creationId xmlns:a16="http://schemas.microsoft.com/office/drawing/2014/main" id="{22E12593-ED05-49C7-A9E2-052569FDEB5C}"/>
              </a:ext>
            </a:extLst>
          </xdr:cNvPr>
          <xdr:cNvCxnSpPr>
            <a:stCxn id="387" idx="0"/>
            <a:endCxn id="387" idx="2"/>
          </xdr:cNvCxnSpPr>
        </xdr:nvCxnSpPr>
        <xdr:spPr>
          <a:xfrm>
            <a:off x="2095499" y="1581150"/>
            <a:ext cx="0" cy="8382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9" name="Straight Connector 388">
            <a:extLst>
              <a:ext uri="{FF2B5EF4-FFF2-40B4-BE49-F238E27FC236}">
                <a16:creationId xmlns:a16="http://schemas.microsoft.com/office/drawing/2014/main" id="{78915931-93AD-4F95-851E-09BAABCF9AE6}"/>
              </a:ext>
            </a:extLst>
          </xdr:cNvPr>
          <xdr:cNvCxnSpPr>
            <a:stCxn id="387" idx="1"/>
            <a:endCxn id="387" idx="3"/>
          </xdr:cNvCxnSpPr>
        </xdr:nvCxnSpPr>
        <xdr:spPr>
          <a:xfrm>
            <a:off x="1219199" y="2000250"/>
            <a:ext cx="1752599" cy="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90" name="TextBox 12">
            <a:extLst>
              <a:ext uri="{FF2B5EF4-FFF2-40B4-BE49-F238E27FC236}">
                <a16:creationId xmlns:a16="http://schemas.microsoft.com/office/drawing/2014/main" id="{7D0A2D3F-78FA-4648-89A0-572740BEE6E0}"/>
              </a:ext>
            </a:extLst>
          </xdr:cNvPr>
          <xdr:cNvSpPr txBox="1"/>
        </xdr:nvSpPr>
        <xdr:spPr>
          <a:xfrm>
            <a:off x="2045971" y="1652201"/>
            <a:ext cx="1002029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s-CL" sz="1200">
                <a:latin typeface="Arial" panose="020B0604020202020204" pitchFamily="34" charset="0"/>
                <a:cs typeface="Arial" panose="020B0604020202020204" pitchFamily="34" charset="0"/>
              </a:rPr>
              <a:t>m</a:t>
            </a:r>
            <a:r>
              <a:rPr lang="es-CL" sz="1200" baseline="30000">
                <a:latin typeface="Arial" panose="020B0604020202020204" pitchFamily="34" charset="0"/>
                <a:cs typeface="Arial" panose="020B0604020202020204" pitchFamily="34" charset="0"/>
              </a:rPr>
              <a:t>3</a:t>
            </a:r>
            <a:r>
              <a:rPr lang="es-CL" sz="1200">
                <a:latin typeface="Arial" panose="020B0604020202020204" pitchFamily="34" charset="0"/>
                <a:cs typeface="Arial" panose="020B0604020202020204" pitchFamily="34" charset="0"/>
              </a:rPr>
              <a:t>/h Water</a:t>
            </a:r>
            <a:endParaRPr lang="en-US" sz="120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1" name="TextBox 13">
            <a:extLst>
              <a:ext uri="{FF2B5EF4-FFF2-40B4-BE49-F238E27FC236}">
                <a16:creationId xmlns:a16="http://schemas.microsoft.com/office/drawing/2014/main" id="{9D0EE94C-6332-4A74-8FFC-F1F32B41DCA1}"/>
              </a:ext>
            </a:extLst>
          </xdr:cNvPr>
          <xdr:cNvSpPr txBox="1"/>
        </xdr:nvSpPr>
        <xdr:spPr>
          <a:xfrm>
            <a:off x="1207771" y="2071301"/>
            <a:ext cx="1002029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s-CL" sz="1200">
                <a:latin typeface="Arial" panose="020B0604020202020204" pitchFamily="34" charset="0"/>
                <a:cs typeface="Arial" panose="020B0604020202020204" pitchFamily="34" charset="0"/>
              </a:rPr>
              <a:t>m</a:t>
            </a:r>
            <a:r>
              <a:rPr lang="es-CL" sz="1200" baseline="30000">
                <a:latin typeface="Arial" panose="020B0604020202020204" pitchFamily="34" charset="0"/>
                <a:cs typeface="Arial" panose="020B0604020202020204" pitchFamily="34" charset="0"/>
              </a:rPr>
              <a:t>3</a:t>
            </a:r>
            <a:r>
              <a:rPr lang="es-CL" sz="1200">
                <a:latin typeface="Arial" panose="020B0604020202020204" pitchFamily="34" charset="0"/>
                <a:cs typeface="Arial" panose="020B0604020202020204" pitchFamily="34" charset="0"/>
              </a:rPr>
              <a:t>/h Slurry</a:t>
            </a:r>
            <a:endParaRPr lang="en-US" sz="120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2" name="TextBox 16">
            <a:extLst>
              <a:ext uri="{FF2B5EF4-FFF2-40B4-BE49-F238E27FC236}">
                <a16:creationId xmlns:a16="http://schemas.microsoft.com/office/drawing/2014/main" id="{0EB79316-E54E-4A2A-B4D4-68D36F1AD52A}"/>
              </a:ext>
            </a:extLst>
          </xdr:cNvPr>
          <xdr:cNvSpPr txBox="1"/>
        </xdr:nvSpPr>
        <xdr:spPr>
          <a:xfrm>
            <a:off x="2133600" y="2077582"/>
            <a:ext cx="990600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s-CL" sz="1200">
                <a:latin typeface="Arial" panose="020B0604020202020204" pitchFamily="34" charset="0"/>
                <a:cs typeface="Arial" panose="020B0604020202020204" pitchFamily="34" charset="0"/>
              </a:rPr>
              <a:t>Solids % </a:t>
            </a:r>
            <a:endParaRPr lang="en-US" sz="120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3" name="TextBox 17">
            <a:extLst>
              <a:ext uri="{FF2B5EF4-FFF2-40B4-BE49-F238E27FC236}">
                <a16:creationId xmlns:a16="http://schemas.microsoft.com/office/drawing/2014/main" id="{F1AC14A5-312E-4B37-9255-65B3CB181D8B}"/>
              </a:ext>
            </a:extLst>
          </xdr:cNvPr>
          <xdr:cNvSpPr txBox="1"/>
        </xdr:nvSpPr>
        <xdr:spPr>
          <a:xfrm>
            <a:off x="1219198" y="1304151"/>
            <a:ext cx="876300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s-CL" sz="1200">
                <a:latin typeface="Arial" panose="020B0604020202020204" pitchFamily="34" charset="0"/>
                <a:cs typeface="Arial" panose="020B0604020202020204" pitchFamily="34" charset="0"/>
              </a:rPr>
              <a:t>GE Solid</a:t>
            </a:r>
            <a:endParaRPr lang="en-US" sz="120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4" name="TextBox 18">
            <a:extLst>
              <a:ext uri="{FF2B5EF4-FFF2-40B4-BE49-F238E27FC236}">
                <a16:creationId xmlns:a16="http://schemas.microsoft.com/office/drawing/2014/main" id="{D35FBEFA-6E03-4AAF-B74B-DFF1D0F10087}"/>
              </a:ext>
            </a:extLst>
          </xdr:cNvPr>
          <xdr:cNvSpPr txBox="1"/>
        </xdr:nvSpPr>
        <xdr:spPr>
          <a:xfrm>
            <a:off x="1238250" y="2461062"/>
            <a:ext cx="876300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s-CL" sz="1200">
                <a:latin typeface="Arial" panose="020B0604020202020204" pitchFamily="34" charset="0"/>
                <a:cs typeface="Arial" panose="020B0604020202020204" pitchFamily="34" charset="0"/>
              </a:rPr>
              <a:t>GE Slurry</a:t>
            </a:r>
            <a:endParaRPr lang="en-US" sz="120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38</xdr:col>
      <xdr:colOff>249465</xdr:colOff>
      <xdr:row>38</xdr:row>
      <xdr:rowOff>124732</xdr:rowOff>
    </xdr:from>
    <xdr:to>
      <xdr:col>44</xdr:col>
      <xdr:colOff>22678</xdr:colOff>
      <xdr:row>42</xdr:row>
      <xdr:rowOff>79375</xdr:rowOff>
    </xdr:to>
    <xdr:sp macro="" textlink="">
      <xdr:nvSpPr>
        <xdr:cNvPr id="395" name="CuadroTexto 394">
          <a:extLst>
            <a:ext uri="{FF2B5EF4-FFF2-40B4-BE49-F238E27FC236}">
              <a16:creationId xmlns:a16="http://schemas.microsoft.com/office/drawing/2014/main" id="{2F3CBD83-C79B-4642-BB72-70395288AD33}"/>
            </a:ext>
          </a:extLst>
        </xdr:cNvPr>
        <xdr:cNvSpPr txBox="1"/>
      </xdr:nvSpPr>
      <xdr:spPr>
        <a:xfrm>
          <a:off x="18006786" y="7075714"/>
          <a:ext cx="2834821" cy="714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>
              <a:latin typeface="Arial" panose="020B0604020202020204" pitchFamily="34" charset="0"/>
              <a:cs typeface="Arial" panose="020B0604020202020204" pitchFamily="34" charset="0"/>
            </a:rPr>
            <a:t>Resultados de Promedios de tonelajes instantáneos tomados del sistema PI con intervalos de 5 minutos.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noFill/>
        <a:ln>
          <a:solidFill>
            <a:srgbClr val="FF0000"/>
          </a:solidFill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050E9-0516-4557-8E82-CC11D2E51D80}">
  <dimension ref="A1:A15"/>
  <sheetViews>
    <sheetView topLeftCell="A49" zoomScale="70" zoomScaleNormal="70" workbookViewId="0">
      <selection activeCell="R35" sqref="R35"/>
    </sheetView>
  </sheetViews>
  <sheetFormatPr baseColWidth="10" defaultRowHeight="15"/>
  <sheetData>
    <row r="1" customFormat="1"/>
    <row r="2" customFormat="1"/>
    <row r="3" customFormat="1"/>
    <row r="4" customFormat="1"/>
    <row r="5" customFormat="1"/>
    <row r="6" customFormat="1"/>
    <row r="7" customFormat="1"/>
    <row r="8" customFormat="1"/>
    <row r="9" customFormat="1"/>
    <row r="10" customFormat="1"/>
    <row r="11" customFormat="1"/>
    <row r="12" customFormat="1"/>
    <row r="13" customFormat="1"/>
    <row r="14" customFormat="1"/>
    <row r="15" customFormat="1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C0B08-722C-4A07-8D7E-863BAB9EFFBF}">
  <dimension ref="B6:D9"/>
  <sheetViews>
    <sheetView zoomScale="70" zoomScaleNormal="70" workbookViewId="0">
      <selection activeCell="I19" sqref="I19"/>
    </sheetView>
  </sheetViews>
  <sheetFormatPr baseColWidth="10" defaultRowHeight="15"/>
  <cols>
    <col min="1" max="1" width="7.42578125" customWidth="1"/>
    <col min="2" max="2" width="22.42578125" customWidth="1"/>
  </cols>
  <sheetData>
    <row r="6" spans="2:4">
      <c r="B6" s="74" t="s">
        <v>70</v>
      </c>
      <c r="D6">
        <v>0.76</v>
      </c>
    </row>
    <row r="7" spans="2:4">
      <c r="B7" t="s">
        <v>71</v>
      </c>
      <c r="D7">
        <v>0.28000000000000003</v>
      </c>
    </row>
    <row r="8" spans="2:4">
      <c r="B8" s="75" t="s">
        <v>72</v>
      </c>
      <c r="C8" s="18" t="s">
        <v>73</v>
      </c>
      <c r="D8">
        <f>(0.499*D6-0.746)+(5.49*D6-0.969)*D7</f>
        <v>0.53019200000000033</v>
      </c>
    </row>
    <row r="9" spans="2:4">
      <c r="C9" s="18" t="s">
        <v>74</v>
      </c>
      <c r="D9" s="76">
        <f>180*D8/PI()</f>
        <v>30.377763931600164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CA4CC-7944-4E9F-83D9-7EC68C89E020}">
  <dimension ref="B2:D27"/>
  <sheetViews>
    <sheetView topLeftCell="A13" workbookViewId="0">
      <selection activeCell="E14" sqref="E14"/>
    </sheetView>
  </sheetViews>
  <sheetFormatPr baseColWidth="10" defaultRowHeight="15"/>
  <cols>
    <col min="1" max="1" width="4.85546875" customWidth="1"/>
    <col min="2" max="2" width="36.28515625" customWidth="1"/>
  </cols>
  <sheetData>
    <row r="2" spans="2:4" ht="15.75">
      <c r="B2" s="1" t="s">
        <v>0</v>
      </c>
      <c r="C2" s="2"/>
      <c r="D2" s="2"/>
    </row>
    <row r="3" spans="2:4" ht="15.75">
      <c r="B3" s="1" t="s">
        <v>1</v>
      </c>
      <c r="C3" s="2"/>
      <c r="D3" s="2"/>
    </row>
    <row r="4" spans="2:4">
      <c r="B4" s="2"/>
      <c r="C4" s="2"/>
      <c r="D4" s="2"/>
    </row>
    <row r="5" spans="2:4" ht="15.75">
      <c r="B5" s="3" t="s">
        <v>2</v>
      </c>
      <c r="C5" s="4" t="s">
        <v>3</v>
      </c>
      <c r="D5" s="5">
        <v>26</v>
      </c>
    </row>
    <row r="6" spans="2:4" ht="15.75">
      <c r="B6" s="3" t="s">
        <v>2</v>
      </c>
      <c r="C6" s="4" t="s">
        <v>4</v>
      </c>
      <c r="D6" s="6">
        <f>+D5*0.3048</f>
        <v>7.9248000000000003</v>
      </c>
    </row>
    <row r="7" spans="2:4" ht="15.75">
      <c r="B7" s="7" t="s">
        <v>5</v>
      </c>
      <c r="C7" s="8" t="s">
        <v>3</v>
      </c>
      <c r="D7" s="9">
        <v>0.36876640419947698</v>
      </c>
    </row>
    <row r="8" spans="2:4" ht="15.75">
      <c r="B8" s="3" t="s">
        <v>6</v>
      </c>
      <c r="C8" s="8" t="s">
        <v>3</v>
      </c>
      <c r="D8" s="6">
        <f>+D5-D7*2</f>
        <v>25.262467191601047</v>
      </c>
    </row>
    <row r="9" spans="2:4" ht="15.75">
      <c r="B9" s="3" t="s">
        <v>6</v>
      </c>
      <c r="C9" s="4" t="s">
        <v>4</v>
      </c>
      <c r="D9" s="10">
        <f>+D8*0.3048</f>
        <v>7.6999999999999993</v>
      </c>
    </row>
    <row r="10" spans="2:4" ht="15.75">
      <c r="B10" s="3" t="s">
        <v>7</v>
      </c>
      <c r="C10" s="4" t="s">
        <v>3</v>
      </c>
      <c r="D10" s="5">
        <v>11</v>
      </c>
    </row>
    <row r="11" spans="2:4" ht="15.75">
      <c r="B11" s="3"/>
      <c r="C11" s="4" t="s">
        <v>4</v>
      </c>
      <c r="D11" s="10">
        <f>+D10*0.3048</f>
        <v>3.3528000000000002</v>
      </c>
    </row>
    <row r="12" spans="2:4" ht="15.75">
      <c r="B12" s="3"/>
      <c r="C12" s="3"/>
      <c r="D12" s="3"/>
    </row>
    <row r="13" spans="2:4" ht="15.75">
      <c r="B13" s="3" t="s">
        <v>8</v>
      </c>
      <c r="C13" s="4" t="s">
        <v>9</v>
      </c>
      <c r="D13" s="11">
        <v>0.22600000000000001</v>
      </c>
    </row>
    <row r="14" spans="2:4" ht="15.75">
      <c r="B14" s="3" t="s">
        <v>10</v>
      </c>
      <c r="C14" s="4" t="s">
        <v>9</v>
      </c>
      <c r="D14" s="11">
        <v>0.13500000000000001</v>
      </c>
    </row>
    <row r="15" spans="2:4" ht="15.75">
      <c r="B15" s="3" t="s">
        <v>11</v>
      </c>
      <c r="C15" s="4" t="s">
        <v>12</v>
      </c>
      <c r="D15" s="12">
        <v>2.93</v>
      </c>
    </row>
    <row r="16" spans="2:4" ht="15.75">
      <c r="B16" s="3" t="s">
        <v>13</v>
      </c>
      <c r="C16" s="4" t="s">
        <v>12</v>
      </c>
      <c r="D16" s="12">
        <v>7.8</v>
      </c>
    </row>
    <row r="17" spans="2:4" ht="15.75">
      <c r="B17" s="3" t="s">
        <v>14</v>
      </c>
      <c r="C17" s="4" t="s">
        <v>9</v>
      </c>
      <c r="D17" s="13">
        <v>0.75</v>
      </c>
    </row>
    <row r="18" spans="2:4" ht="19.5">
      <c r="B18" s="3" t="s">
        <v>15</v>
      </c>
      <c r="C18" s="4" t="s">
        <v>9</v>
      </c>
      <c r="D18" s="13">
        <v>0.3</v>
      </c>
    </row>
    <row r="19" spans="2:4" ht="19.5">
      <c r="B19" s="3" t="s">
        <v>16</v>
      </c>
      <c r="C19" s="4" t="s">
        <v>9</v>
      </c>
      <c r="D19" s="13">
        <v>0.75</v>
      </c>
    </row>
    <row r="20" spans="2:4" ht="15.75">
      <c r="B20" s="3" t="s">
        <v>17</v>
      </c>
      <c r="C20" s="4"/>
      <c r="D20" s="5">
        <v>10.6</v>
      </c>
    </row>
    <row r="21" spans="2:4" ht="15.75">
      <c r="B21" s="3" t="s">
        <v>18</v>
      </c>
      <c r="C21" s="3"/>
      <c r="D21" s="12">
        <v>1.03</v>
      </c>
    </row>
    <row r="22" spans="2:4" ht="16.5" thickBot="1">
      <c r="B22" s="14" t="s">
        <v>19</v>
      </c>
      <c r="C22" s="15" t="s">
        <v>20</v>
      </c>
      <c r="D22" s="16">
        <f>D20*(D9^2.5*D11*(1-D21*D13))*((1-D18)*(D15/D17)*D13+0.6*D14*(D16-(D15/D17)))*D19*(1-(0.1/(2^(9-10*D19))))</f>
        <v>3029.3830069311725</v>
      </c>
    </row>
    <row r="23" spans="2:4" ht="16.5" thickTop="1">
      <c r="B23" s="3" t="s">
        <v>21</v>
      </c>
      <c r="C23" s="3"/>
      <c r="D23" s="12">
        <v>1.05</v>
      </c>
    </row>
    <row r="24" spans="2:4" ht="16.5" thickBot="1">
      <c r="B24" s="14" t="s">
        <v>22</v>
      </c>
      <c r="C24" s="15" t="s">
        <v>20</v>
      </c>
      <c r="D24" s="16">
        <f>+D22*D23</f>
        <v>3180.8521572777313</v>
      </c>
    </row>
    <row r="25" spans="2:4" ht="16.5" thickTop="1">
      <c r="B25" s="3" t="s">
        <v>23</v>
      </c>
      <c r="C25" s="3"/>
      <c r="D25" s="13">
        <v>0.9456</v>
      </c>
    </row>
    <row r="26" spans="2:4" ht="16.5" thickBot="1">
      <c r="B26" s="14" t="s">
        <v>24</v>
      </c>
      <c r="C26" s="15" t="s">
        <v>20</v>
      </c>
      <c r="D26" s="16">
        <f>+D24/D25</f>
        <v>3363.8453439908326</v>
      </c>
    </row>
    <row r="27" spans="2:4" ht="15.75" thickTop="1"/>
  </sheetData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129B8-B0A4-44C5-A9F2-BB136D1CC256}">
  <dimension ref="B2:Q35"/>
  <sheetViews>
    <sheetView topLeftCell="A10" zoomScale="70" zoomScaleNormal="70" workbookViewId="0">
      <selection activeCell="F2" sqref="F2"/>
    </sheetView>
  </sheetViews>
  <sheetFormatPr baseColWidth="10" defaultRowHeight="15"/>
  <cols>
    <col min="1" max="1" width="4.85546875" customWidth="1"/>
    <col min="2" max="2" width="43.140625" customWidth="1"/>
    <col min="4" max="17" width="12.7109375" customWidth="1"/>
  </cols>
  <sheetData>
    <row r="2" spans="2:17" ht="15.75">
      <c r="B2" s="1" t="s">
        <v>0</v>
      </c>
      <c r="C2" s="2"/>
      <c r="D2" s="2"/>
    </row>
    <row r="3" spans="2:17" ht="15.75">
      <c r="B3" s="1" t="s">
        <v>1</v>
      </c>
      <c r="C3" s="2"/>
      <c r="D3" s="2"/>
      <c r="M3" t="s">
        <v>97</v>
      </c>
    </row>
    <row r="4" spans="2:17">
      <c r="B4" s="2"/>
      <c r="C4" s="2"/>
      <c r="D4" s="17" t="s">
        <v>25</v>
      </c>
      <c r="E4" s="17" t="s">
        <v>26</v>
      </c>
      <c r="F4" s="17" t="s">
        <v>27</v>
      </c>
      <c r="G4" s="17" t="s">
        <v>28</v>
      </c>
      <c r="H4" s="17" t="s">
        <v>29</v>
      </c>
      <c r="I4" s="17" t="s">
        <v>30</v>
      </c>
      <c r="J4" s="17" t="s">
        <v>31</v>
      </c>
      <c r="K4" s="17" t="s">
        <v>66</v>
      </c>
      <c r="L4" s="17" t="s">
        <v>68</v>
      </c>
      <c r="M4" s="17" t="s">
        <v>68</v>
      </c>
      <c r="N4" s="17" t="s">
        <v>96</v>
      </c>
      <c r="O4" s="17" t="s">
        <v>103</v>
      </c>
      <c r="P4" s="17" t="s">
        <v>104</v>
      </c>
      <c r="Q4" s="17" t="s">
        <v>105</v>
      </c>
    </row>
    <row r="5" spans="2:17" ht="15.75">
      <c r="B5" s="1" t="s">
        <v>2</v>
      </c>
      <c r="C5" s="61" t="s">
        <v>3</v>
      </c>
      <c r="D5" s="61">
        <v>36</v>
      </c>
      <c r="E5" s="61">
        <v>38</v>
      </c>
      <c r="F5" s="61">
        <v>38</v>
      </c>
      <c r="G5" s="61">
        <v>38</v>
      </c>
      <c r="H5" s="61">
        <v>40</v>
      </c>
      <c r="I5" s="61">
        <v>40</v>
      </c>
      <c r="J5" s="61">
        <v>40</v>
      </c>
      <c r="K5" s="72">
        <v>32</v>
      </c>
      <c r="L5" s="72">
        <v>40</v>
      </c>
      <c r="M5" s="72">
        <v>40</v>
      </c>
      <c r="N5" s="61">
        <v>32</v>
      </c>
      <c r="O5" s="61">
        <v>36</v>
      </c>
      <c r="P5" s="61">
        <v>36</v>
      </c>
      <c r="Q5" s="61">
        <v>38</v>
      </c>
    </row>
    <row r="6" spans="2:17" ht="15.75">
      <c r="B6" s="3" t="s">
        <v>2</v>
      </c>
      <c r="C6" s="4" t="s">
        <v>4</v>
      </c>
      <c r="D6" s="6">
        <f>+D5*0.3048</f>
        <v>10.972800000000001</v>
      </c>
      <c r="E6" s="6">
        <f t="shared" ref="E6:J6" si="0">+E5*0.3048</f>
        <v>11.5824</v>
      </c>
      <c r="F6" s="6">
        <f t="shared" si="0"/>
        <v>11.5824</v>
      </c>
      <c r="G6" s="6">
        <f t="shared" si="0"/>
        <v>11.5824</v>
      </c>
      <c r="H6" s="6">
        <f t="shared" si="0"/>
        <v>12.192</v>
      </c>
      <c r="I6" s="6">
        <f t="shared" si="0"/>
        <v>12.192</v>
      </c>
      <c r="J6" s="6">
        <f t="shared" si="0"/>
        <v>12.192</v>
      </c>
      <c r="K6" s="6">
        <f t="shared" ref="K6:Q6" si="1">+K5*0.3048</f>
        <v>9.7536000000000005</v>
      </c>
      <c r="L6" s="6">
        <f t="shared" si="1"/>
        <v>12.192</v>
      </c>
      <c r="M6" s="6">
        <f t="shared" si="1"/>
        <v>12.192</v>
      </c>
      <c r="N6" s="6">
        <f t="shared" si="1"/>
        <v>9.7536000000000005</v>
      </c>
      <c r="O6" s="6">
        <f t="shared" si="1"/>
        <v>10.972800000000001</v>
      </c>
      <c r="P6" s="6">
        <f t="shared" si="1"/>
        <v>10.972800000000001</v>
      </c>
      <c r="Q6" s="6">
        <f t="shared" si="1"/>
        <v>11.5824</v>
      </c>
    </row>
    <row r="7" spans="2:17" ht="15.75">
      <c r="B7" s="7" t="s">
        <v>5</v>
      </c>
      <c r="C7" s="8" t="s">
        <v>3</v>
      </c>
      <c r="D7" s="9">
        <v>0.36876640419947698</v>
      </c>
      <c r="E7" s="9">
        <v>0.36876640419947698</v>
      </c>
      <c r="F7" s="9">
        <v>0.36876640419947698</v>
      </c>
      <c r="G7" s="9">
        <v>0.36876640419947698</v>
      </c>
      <c r="H7" s="9">
        <v>0.36876640419947698</v>
      </c>
      <c r="I7" s="9">
        <v>0.36876640419947698</v>
      </c>
      <c r="J7" s="9">
        <v>0.36876640419947698</v>
      </c>
      <c r="K7" s="9">
        <v>0.36876640419947698</v>
      </c>
      <c r="L7" s="9">
        <v>0.36876640419947698</v>
      </c>
      <c r="M7" s="9">
        <v>0.36876640419947698</v>
      </c>
      <c r="N7" s="9">
        <v>0.36876640419947698</v>
      </c>
      <c r="O7" s="9">
        <v>0.36876640419947698</v>
      </c>
      <c r="P7" s="9">
        <v>0.36876640419947698</v>
      </c>
      <c r="Q7" s="9">
        <v>0.36876640419947698</v>
      </c>
    </row>
    <row r="8" spans="2:17" ht="15.75">
      <c r="B8" s="3" t="s">
        <v>6</v>
      </c>
      <c r="C8" s="8" t="s">
        <v>3</v>
      </c>
      <c r="D8" s="6">
        <f>+D5-D7*2</f>
        <v>35.262467191601047</v>
      </c>
      <c r="E8" s="6">
        <f t="shared" ref="E8:J8" si="2">+E5-E7*2</f>
        <v>37.262467191601047</v>
      </c>
      <c r="F8" s="6">
        <f t="shared" si="2"/>
        <v>37.262467191601047</v>
      </c>
      <c r="G8" s="6">
        <f t="shared" si="2"/>
        <v>37.262467191601047</v>
      </c>
      <c r="H8" s="6">
        <f t="shared" si="2"/>
        <v>39.262467191601047</v>
      </c>
      <c r="I8" s="6">
        <f t="shared" si="2"/>
        <v>39.262467191601047</v>
      </c>
      <c r="J8" s="6">
        <f t="shared" si="2"/>
        <v>39.262467191601047</v>
      </c>
      <c r="K8" s="6">
        <f t="shared" ref="K8:Q8" si="3">+K5-K7*2</f>
        <v>31.262467191601047</v>
      </c>
      <c r="L8" s="6">
        <f t="shared" si="3"/>
        <v>39.262467191601047</v>
      </c>
      <c r="M8" s="6">
        <f t="shared" si="3"/>
        <v>39.262467191601047</v>
      </c>
      <c r="N8" s="6">
        <f t="shared" si="3"/>
        <v>31.262467191601047</v>
      </c>
      <c r="O8" s="6">
        <f t="shared" si="3"/>
        <v>35.262467191601047</v>
      </c>
      <c r="P8" s="6">
        <f t="shared" si="3"/>
        <v>35.262467191601047</v>
      </c>
      <c r="Q8" s="6">
        <f t="shared" si="3"/>
        <v>37.262467191601047</v>
      </c>
    </row>
    <row r="9" spans="2:17" ht="15.75">
      <c r="B9" s="3" t="s">
        <v>6</v>
      </c>
      <c r="C9" s="4" t="s">
        <v>4</v>
      </c>
      <c r="D9" s="10">
        <f>+D8*0.3048</f>
        <v>10.747999999999999</v>
      </c>
      <c r="E9" s="10">
        <f t="shared" ref="E9:J9" si="4">+E8*0.3048</f>
        <v>11.3576</v>
      </c>
      <c r="F9" s="10">
        <f t="shared" si="4"/>
        <v>11.3576</v>
      </c>
      <c r="G9" s="10">
        <f t="shared" si="4"/>
        <v>11.3576</v>
      </c>
      <c r="H9" s="10">
        <f t="shared" si="4"/>
        <v>11.9672</v>
      </c>
      <c r="I9" s="10">
        <f t="shared" si="4"/>
        <v>11.9672</v>
      </c>
      <c r="J9" s="10">
        <f t="shared" si="4"/>
        <v>11.9672</v>
      </c>
      <c r="K9" s="10">
        <f t="shared" ref="K9:Q9" si="5">+K8*0.3048</f>
        <v>9.5288000000000004</v>
      </c>
      <c r="L9" s="10">
        <f t="shared" si="5"/>
        <v>11.9672</v>
      </c>
      <c r="M9" s="10">
        <f t="shared" si="5"/>
        <v>11.9672</v>
      </c>
      <c r="N9" s="10">
        <f t="shared" si="5"/>
        <v>9.5288000000000004</v>
      </c>
      <c r="O9" s="10">
        <f t="shared" si="5"/>
        <v>10.747999999999999</v>
      </c>
      <c r="P9" s="10">
        <f t="shared" si="5"/>
        <v>10.747999999999999</v>
      </c>
      <c r="Q9" s="10">
        <f t="shared" si="5"/>
        <v>11.3576</v>
      </c>
    </row>
    <row r="10" spans="2:17" ht="15.75">
      <c r="B10" s="1" t="s">
        <v>7</v>
      </c>
      <c r="C10" s="61" t="s">
        <v>3</v>
      </c>
      <c r="D10" s="62">
        <v>15</v>
      </c>
      <c r="E10" s="63">
        <v>20</v>
      </c>
      <c r="F10" s="63">
        <v>19</v>
      </c>
      <c r="G10" s="61">
        <v>22.54</v>
      </c>
      <c r="H10" s="63">
        <v>26</v>
      </c>
      <c r="I10" s="63">
        <v>20</v>
      </c>
      <c r="J10" s="63">
        <v>23.6</v>
      </c>
      <c r="K10" s="73">
        <v>15</v>
      </c>
      <c r="L10" s="73">
        <v>24</v>
      </c>
      <c r="M10" s="73">
        <v>24</v>
      </c>
      <c r="N10" s="85">
        <v>17</v>
      </c>
      <c r="O10" s="85">
        <v>17.25</v>
      </c>
      <c r="P10" s="85">
        <v>15</v>
      </c>
      <c r="Q10" s="63">
        <v>20</v>
      </c>
    </row>
    <row r="11" spans="2:17" ht="15.75">
      <c r="B11" s="3"/>
      <c r="C11" s="4" t="s">
        <v>4</v>
      </c>
      <c r="D11" s="10">
        <f>+D10*0.3048</f>
        <v>4.5720000000000001</v>
      </c>
      <c r="E11" s="10">
        <f t="shared" ref="E11:J11" si="6">+E10*0.3048</f>
        <v>6.0960000000000001</v>
      </c>
      <c r="F11" s="10">
        <f t="shared" si="6"/>
        <v>5.7911999999999999</v>
      </c>
      <c r="G11" s="10">
        <f t="shared" si="6"/>
        <v>6.8701920000000003</v>
      </c>
      <c r="H11" s="10">
        <f t="shared" si="6"/>
        <v>7.9248000000000003</v>
      </c>
      <c r="I11" s="10">
        <f t="shared" si="6"/>
        <v>6.0960000000000001</v>
      </c>
      <c r="J11" s="10">
        <f t="shared" si="6"/>
        <v>7.1932800000000006</v>
      </c>
      <c r="K11" s="10">
        <f t="shared" ref="K11:Q11" si="7">+K10*0.3048</f>
        <v>4.5720000000000001</v>
      </c>
      <c r="L11" s="10">
        <f t="shared" si="7"/>
        <v>7.3152000000000008</v>
      </c>
      <c r="M11" s="10">
        <f t="shared" si="7"/>
        <v>7.3152000000000008</v>
      </c>
      <c r="N11" s="10">
        <f t="shared" si="7"/>
        <v>5.1816000000000004</v>
      </c>
      <c r="O11" s="10">
        <f t="shared" si="7"/>
        <v>5.2578000000000005</v>
      </c>
      <c r="P11" s="10">
        <f t="shared" si="7"/>
        <v>4.5720000000000001</v>
      </c>
      <c r="Q11" s="10">
        <f t="shared" si="7"/>
        <v>6.0960000000000001</v>
      </c>
    </row>
    <row r="12" spans="2:17" ht="15.75">
      <c r="B12" s="3"/>
      <c r="C12" s="3"/>
      <c r="D12" s="3"/>
    </row>
    <row r="13" spans="2:17" ht="15.75">
      <c r="B13" s="3" t="s">
        <v>8</v>
      </c>
      <c r="C13" s="4" t="s">
        <v>9</v>
      </c>
      <c r="D13" s="13">
        <v>0.3</v>
      </c>
      <c r="E13" s="13">
        <v>0.3</v>
      </c>
      <c r="F13" s="13">
        <v>0.3</v>
      </c>
      <c r="G13" s="13">
        <v>0.3</v>
      </c>
      <c r="H13" s="13">
        <v>0.3</v>
      </c>
      <c r="I13" s="13">
        <v>0.3</v>
      </c>
      <c r="J13" s="13">
        <v>0.3</v>
      </c>
      <c r="K13" s="13">
        <v>0.3</v>
      </c>
      <c r="L13" s="13">
        <v>0.3</v>
      </c>
      <c r="M13" s="13">
        <v>0.3</v>
      </c>
      <c r="N13" s="13">
        <v>0.3</v>
      </c>
      <c r="O13" s="13">
        <v>0.3</v>
      </c>
      <c r="P13" s="13">
        <v>0.3</v>
      </c>
      <c r="Q13" s="13">
        <v>0.3</v>
      </c>
    </row>
    <row r="14" spans="2:17" ht="15.75">
      <c r="B14" s="3" t="s">
        <v>10</v>
      </c>
      <c r="C14" s="4" t="s">
        <v>9</v>
      </c>
      <c r="D14" s="13">
        <v>0.18</v>
      </c>
      <c r="E14" s="13">
        <v>0.18</v>
      </c>
      <c r="F14" s="13">
        <v>0.18</v>
      </c>
      <c r="G14" s="13">
        <v>0.18</v>
      </c>
      <c r="H14" s="13">
        <v>0.18</v>
      </c>
      <c r="I14" s="13">
        <v>0.18</v>
      </c>
      <c r="J14" s="13">
        <v>0.18</v>
      </c>
      <c r="K14" s="13">
        <v>0.16</v>
      </c>
      <c r="L14" s="13">
        <v>0.16</v>
      </c>
      <c r="M14" s="13">
        <v>0.16</v>
      </c>
      <c r="N14" s="13">
        <v>0.1</v>
      </c>
      <c r="O14" s="13">
        <v>0.18</v>
      </c>
      <c r="P14" s="13">
        <v>0.18</v>
      </c>
      <c r="Q14" s="13">
        <v>0.18</v>
      </c>
    </row>
    <row r="15" spans="2:17" ht="15.75">
      <c r="B15" s="3" t="s">
        <v>11</v>
      </c>
      <c r="C15" s="4" t="s">
        <v>12</v>
      </c>
      <c r="D15" s="10">
        <v>3</v>
      </c>
      <c r="E15" s="10">
        <v>2.8</v>
      </c>
      <c r="F15" s="10">
        <v>3.5</v>
      </c>
      <c r="G15" s="10">
        <v>2.6</v>
      </c>
      <c r="H15" s="10">
        <v>2.7</v>
      </c>
      <c r="I15" s="10">
        <v>2.7</v>
      </c>
      <c r="J15" s="4">
        <v>2.95</v>
      </c>
      <c r="K15" s="10">
        <v>2.63</v>
      </c>
      <c r="L15" s="10">
        <v>2.63</v>
      </c>
      <c r="M15" s="10">
        <v>2.63</v>
      </c>
      <c r="N15" s="10">
        <v>2.7</v>
      </c>
      <c r="O15" s="10">
        <v>2.79</v>
      </c>
      <c r="P15" s="10">
        <v>2.8</v>
      </c>
      <c r="Q15" s="4">
        <v>2.7</v>
      </c>
    </row>
    <row r="16" spans="2:17" ht="15.75">
      <c r="B16" s="3" t="s">
        <v>13</v>
      </c>
      <c r="C16" s="4" t="s">
        <v>12</v>
      </c>
      <c r="D16" s="12">
        <v>7.8</v>
      </c>
      <c r="E16" s="12">
        <v>7.8</v>
      </c>
      <c r="F16" s="12">
        <v>7.8</v>
      </c>
      <c r="G16" s="12">
        <v>7.8</v>
      </c>
      <c r="H16" s="12">
        <v>7.8</v>
      </c>
      <c r="I16" s="12">
        <v>7.8</v>
      </c>
      <c r="J16" s="12">
        <v>7.8</v>
      </c>
      <c r="K16" s="12">
        <v>7.8</v>
      </c>
      <c r="L16" s="12">
        <v>7.8</v>
      </c>
      <c r="M16" s="12">
        <v>7.8</v>
      </c>
      <c r="N16" s="12">
        <v>7.8</v>
      </c>
      <c r="O16" s="12">
        <v>7.8</v>
      </c>
      <c r="P16" s="12">
        <v>7.8</v>
      </c>
      <c r="Q16" s="12">
        <v>7.8</v>
      </c>
    </row>
    <row r="17" spans="2:17" ht="15.75">
      <c r="B17" s="3" t="s">
        <v>14</v>
      </c>
      <c r="C17" s="4" t="s">
        <v>9</v>
      </c>
      <c r="D17" s="13">
        <v>0.76</v>
      </c>
      <c r="E17" s="13">
        <v>0.76</v>
      </c>
      <c r="F17" s="13">
        <v>0.76</v>
      </c>
      <c r="G17" s="13">
        <v>0.76</v>
      </c>
      <c r="H17" s="13">
        <v>0.76</v>
      </c>
      <c r="I17" s="13">
        <v>0.76</v>
      </c>
      <c r="J17" s="13">
        <v>0.76</v>
      </c>
      <c r="K17" s="13">
        <v>0.76</v>
      </c>
      <c r="L17" s="13">
        <v>0.76</v>
      </c>
      <c r="M17" s="13">
        <v>0.76</v>
      </c>
      <c r="N17" s="13">
        <v>0.75</v>
      </c>
      <c r="O17" s="13">
        <v>0.75</v>
      </c>
      <c r="P17" s="13">
        <v>0.75</v>
      </c>
      <c r="Q17" s="13">
        <v>0.76</v>
      </c>
    </row>
    <row r="18" spans="2:17" ht="19.5">
      <c r="B18" s="3" t="s">
        <v>15</v>
      </c>
      <c r="C18" s="4" t="s">
        <v>9</v>
      </c>
      <c r="D18" s="13">
        <v>0.3</v>
      </c>
      <c r="E18" s="13">
        <v>0.3</v>
      </c>
      <c r="F18" s="13">
        <v>0.3</v>
      </c>
      <c r="G18" s="13">
        <v>0.3</v>
      </c>
      <c r="H18" s="13">
        <v>0.3</v>
      </c>
      <c r="I18" s="13">
        <v>0.3</v>
      </c>
      <c r="J18" s="13">
        <v>0.3</v>
      </c>
      <c r="K18" s="13">
        <v>0.3</v>
      </c>
      <c r="L18" s="13">
        <v>0.3</v>
      </c>
      <c r="M18" s="13">
        <v>0.3</v>
      </c>
      <c r="N18" s="13">
        <v>0.3</v>
      </c>
      <c r="O18" s="13">
        <v>0.3</v>
      </c>
      <c r="P18" s="13">
        <v>0.3</v>
      </c>
      <c r="Q18" s="13">
        <v>0.3</v>
      </c>
    </row>
    <row r="19" spans="2:17" ht="19.5">
      <c r="B19" s="3" t="s">
        <v>16</v>
      </c>
      <c r="C19" s="4" t="s">
        <v>9</v>
      </c>
      <c r="D19" s="13">
        <v>0.75</v>
      </c>
      <c r="E19" s="13">
        <v>0.75</v>
      </c>
      <c r="F19" s="13">
        <v>0.75</v>
      </c>
      <c r="G19" s="13">
        <v>0.75</v>
      </c>
      <c r="H19" s="13">
        <v>0.75</v>
      </c>
      <c r="I19" s="13">
        <v>0.75</v>
      </c>
      <c r="J19" s="13">
        <v>0.75</v>
      </c>
      <c r="K19" s="13">
        <v>0.75</v>
      </c>
      <c r="L19" s="13">
        <v>0.75</v>
      </c>
      <c r="M19" s="13">
        <v>0.75</v>
      </c>
      <c r="N19" s="13">
        <v>0.75</v>
      </c>
      <c r="O19" s="13">
        <v>0.75</v>
      </c>
      <c r="P19" s="13">
        <v>0.75</v>
      </c>
      <c r="Q19" s="13">
        <v>0.75</v>
      </c>
    </row>
    <row r="20" spans="2:17" ht="15.75">
      <c r="B20" s="3" t="s">
        <v>17</v>
      </c>
      <c r="C20" s="4"/>
      <c r="D20" s="5">
        <v>10.6</v>
      </c>
      <c r="E20" s="5">
        <v>10.6</v>
      </c>
      <c r="F20" s="5">
        <v>10.6</v>
      </c>
      <c r="G20" s="5">
        <v>10.6</v>
      </c>
      <c r="H20" s="5">
        <v>10.6</v>
      </c>
      <c r="I20" s="5">
        <v>10.6</v>
      </c>
      <c r="J20" s="5">
        <v>10.6</v>
      </c>
      <c r="K20" s="5">
        <v>10.6</v>
      </c>
      <c r="L20" s="5">
        <v>10.6</v>
      </c>
      <c r="M20" s="5">
        <v>10.6</v>
      </c>
      <c r="N20" s="5">
        <v>10.6</v>
      </c>
      <c r="O20" s="5">
        <v>10.6</v>
      </c>
      <c r="P20" s="5">
        <v>10.6</v>
      </c>
      <c r="Q20" s="5">
        <v>10.6</v>
      </c>
    </row>
    <row r="21" spans="2:17" ht="15.75">
      <c r="B21" s="3" t="s">
        <v>18</v>
      </c>
      <c r="C21" s="3"/>
      <c r="D21" s="12">
        <v>1.03</v>
      </c>
      <c r="E21" s="12">
        <v>1.03</v>
      </c>
      <c r="F21" s="12">
        <v>1.03</v>
      </c>
      <c r="G21" s="12">
        <v>1.03</v>
      </c>
      <c r="H21" s="12">
        <v>1.03</v>
      </c>
      <c r="I21" s="12">
        <v>1.03</v>
      </c>
      <c r="J21" s="12">
        <v>1.03</v>
      </c>
      <c r="K21" s="12">
        <v>1.03</v>
      </c>
      <c r="L21" s="12">
        <v>1.03</v>
      </c>
      <c r="M21" s="12">
        <v>1.03</v>
      </c>
      <c r="N21" s="12">
        <v>1.03</v>
      </c>
      <c r="O21" s="12">
        <v>1.03</v>
      </c>
      <c r="P21" s="12">
        <v>1.03</v>
      </c>
      <c r="Q21" s="12">
        <v>1.03</v>
      </c>
    </row>
    <row r="22" spans="2:17" ht="16.5" thickBot="1">
      <c r="B22" s="14" t="s">
        <v>19</v>
      </c>
      <c r="C22" s="15" t="s">
        <v>20</v>
      </c>
      <c r="D22" s="16">
        <f>D20*(D9^2.5*D11*(1-D21*D13))*((1-D18)*(D15/D17)*D13+0.6*D14*(D16-(D15/D17)))*D19*(1-(0.1/(2^(9-10*D19))))</f>
        <v>11424.002095614096</v>
      </c>
      <c r="E22" s="16">
        <f t="shared" ref="E22:J22" si="8">E20*(E9^2.5*E11*(1-E21*E13))*((1-E18)*(E15/E17)*E13+0.6*E14*(E16-(E15/E17)))*E19*(1-(0.1/(2^(9-10*E19))))</f>
        <v>17107.587307905451</v>
      </c>
      <c r="F22" s="16">
        <f t="shared" si="8"/>
        <v>17505.586173248663</v>
      </c>
      <c r="G22" s="16">
        <f t="shared" si="8"/>
        <v>18855.421643064401</v>
      </c>
      <c r="H22" s="16">
        <f t="shared" si="8"/>
        <v>25066.044132287949</v>
      </c>
      <c r="I22" s="16">
        <f t="shared" si="8"/>
        <v>19281.57240945227</v>
      </c>
      <c r="J22" s="16">
        <f t="shared" si="8"/>
        <v>23385.902566645873</v>
      </c>
      <c r="K22" s="16">
        <f t="shared" ref="K22:L22" si="9">K20*(K9^2.5*K11*(1-K21*K13))*((1-K18)*(K15/K17)*K13+0.6*K14*(K16-(K15/K17)))*K19*(1-(0.1/(2^(9-10*K19))))</f>
        <v>7763.8027904043411</v>
      </c>
      <c r="L22" s="16">
        <f t="shared" si="9"/>
        <v>21957.370080931498</v>
      </c>
      <c r="M22" s="16">
        <f t="shared" ref="M22" si="10">M20*(M9^2.5*M11*(1-M21*M13))*((1-M18)*(M15/M17)*M13+0.6*M14*(M16-(M15/M17)))*M19*(1-(0.1/(2^(9-10*M19))))</f>
        <v>21957.370080931498</v>
      </c>
      <c r="N22" s="16">
        <f t="shared" ref="N22:O22" si="11">N20*(N9^2.5*N11*(1-N21*N13))*((1-N18)*(N15/N17)*N13+0.6*N14*(N16-(N15/N17)))*N19*(1-(0.1/(2^(9-10*N19))))</f>
        <v>7757.6911639621476</v>
      </c>
      <c r="O22" s="16">
        <f t="shared" si="11"/>
        <v>12892.884325193063</v>
      </c>
      <c r="P22" s="16">
        <f t="shared" ref="P22:Q22" si="12">P20*(P9^2.5*P11*(1-P21*P13))*((1-P18)*(P15/P17)*P13+0.6*P14*(P16-(P15/P17)))*P19*(1-(0.1/(2^(9-10*P19))))</f>
        <v>11223.682675719409</v>
      </c>
      <c r="Q22" s="16">
        <f t="shared" si="12"/>
        <v>16919.109378471094</v>
      </c>
    </row>
    <row r="23" spans="2:17" ht="16.5" thickTop="1">
      <c r="B23" s="3" t="s">
        <v>21</v>
      </c>
      <c r="C23" s="3"/>
      <c r="D23" s="12">
        <v>1.05</v>
      </c>
      <c r="E23" s="12">
        <v>1.05</v>
      </c>
      <c r="F23" s="12">
        <v>1.05</v>
      </c>
      <c r="G23" s="12">
        <v>1.05</v>
      </c>
      <c r="H23" s="12">
        <v>1.05</v>
      </c>
      <c r="I23" s="12">
        <v>1.05</v>
      </c>
      <c r="J23" s="12">
        <v>1.05</v>
      </c>
      <c r="K23" s="12">
        <f>+J23</f>
        <v>1.05</v>
      </c>
      <c r="L23" s="12">
        <f>+K23</f>
        <v>1.05</v>
      </c>
      <c r="M23" s="12">
        <f>+L23</f>
        <v>1.05</v>
      </c>
      <c r="N23" s="12">
        <f>+L23</f>
        <v>1.05</v>
      </c>
      <c r="O23" s="12">
        <f>+M23</f>
        <v>1.05</v>
      </c>
      <c r="P23" s="12">
        <f>+N23</f>
        <v>1.05</v>
      </c>
      <c r="Q23" s="12">
        <v>1.05</v>
      </c>
    </row>
    <row r="24" spans="2:17" ht="16.5" thickBot="1">
      <c r="B24" s="14" t="s">
        <v>22</v>
      </c>
      <c r="C24" s="15" t="s">
        <v>20</v>
      </c>
      <c r="D24" s="16">
        <f>+D22*D23</f>
        <v>11995.202200394802</v>
      </c>
      <c r="E24" s="16">
        <f t="shared" ref="E24:J24" si="13">+E22*E23</f>
        <v>17962.966673300725</v>
      </c>
      <c r="F24" s="16">
        <f t="shared" si="13"/>
        <v>18380.865481911096</v>
      </c>
      <c r="G24" s="16">
        <f t="shared" si="13"/>
        <v>19798.192725217621</v>
      </c>
      <c r="H24" s="16">
        <f t="shared" si="13"/>
        <v>26319.346338902349</v>
      </c>
      <c r="I24" s="16">
        <f t="shared" si="13"/>
        <v>20245.651029924884</v>
      </c>
      <c r="J24" s="16">
        <f t="shared" si="13"/>
        <v>24555.197694978167</v>
      </c>
      <c r="K24" s="16">
        <f t="shared" ref="K24:L24" si="14">+K22*K23</f>
        <v>8151.9929299245587</v>
      </c>
      <c r="L24" s="16">
        <f t="shared" si="14"/>
        <v>23055.238584978073</v>
      </c>
      <c r="M24" s="16">
        <f t="shared" ref="M24" si="15">+M22*M23</f>
        <v>23055.238584978073</v>
      </c>
      <c r="N24" s="16">
        <f t="shared" ref="N24:O24" si="16">+N22*N23</f>
        <v>8145.5757221602553</v>
      </c>
      <c r="O24" s="16">
        <f t="shared" si="16"/>
        <v>13537.528541452717</v>
      </c>
      <c r="P24" s="16">
        <f t="shared" ref="P24:Q24" si="17">+P22*P23</f>
        <v>11784.86680950538</v>
      </c>
      <c r="Q24" s="16">
        <f t="shared" si="17"/>
        <v>17765.064847394649</v>
      </c>
    </row>
    <row r="25" spans="2:17" ht="16.5" thickTop="1">
      <c r="B25" s="3" t="s">
        <v>23</v>
      </c>
      <c r="C25" s="3"/>
      <c r="D25" s="13">
        <v>0.9456</v>
      </c>
      <c r="E25" s="13">
        <v>0.9456</v>
      </c>
      <c r="F25" s="13">
        <v>0.9456</v>
      </c>
      <c r="G25" s="13">
        <v>0.9456</v>
      </c>
      <c r="H25" s="13">
        <v>0.9456</v>
      </c>
      <c r="I25" s="13">
        <v>0.9456</v>
      </c>
      <c r="J25" s="13">
        <v>0.9456</v>
      </c>
      <c r="K25" s="13">
        <f>+J25</f>
        <v>0.9456</v>
      </c>
      <c r="L25" s="13">
        <f>+K25</f>
        <v>0.9456</v>
      </c>
      <c r="M25" s="13">
        <f>+L25</f>
        <v>0.9456</v>
      </c>
      <c r="N25" s="13">
        <f>+L25</f>
        <v>0.9456</v>
      </c>
      <c r="O25" s="13">
        <f>+M25</f>
        <v>0.9456</v>
      </c>
      <c r="P25" s="13">
        <f>+N25</f>
        <v>0.9456</v>
      </c>
      <c r="Q25" s="13">
        <v>0.9456</v>
      </c>
    </row>
    <row r="26" spans="2:17" ht="16.5" thickBot="1">
      <c r="B26" s="14" t="s">
        <v>24</v>
      </c>
      <c r="C26" s="15" t="s">
        <v>20</v>
      </c>
      <c r="D26" s="16">
        <f>+D24/D25</f>
        <v>12685.281514799917</v>
      </c>
      <c r="E26" s="16">
        <f t="shared" ref="E26:J26" si="18">+E24/E25</f>
        <v>18996.369155351866</v>
      </c>
      <c r="F26" s="16">
        <f t="shared" si="18"/>
        <v>19438.309519787537</v>
      </c>
      <c r="G26" s="16">
        <f t="shared" si="18"/>
        <v>20937.175047818972</v>
      </c>
      <c r="H26" s="16">
        <f t="shared" si="18"/>
        <v>27833.488091055784</v>
      </c>
      <c r="I26" s="16">
        <f t="shared" si="18"/>
        <v>21410.375454658297</v>
      </c>
      <c r="J26" s="16">
        <f t="shared" si="18"/>
        <v>25967.848662201955</v>
      </c>
      <c r="K26" s="16">
        <f t="shared" ref="K26:L26" si="19">+K24/K25</f>
        <v>8620.9739106647194</v>
      </c>
      <c r="L26" s="16">
        <f t="shared" si="19"/>
        <v>24381.597488343985</v>
      </c>
      <c r="M26" s="16">
        <f t="shared" ref="M26" si="20">+M24/M25</f>
        <v>24381.597488343985</v>
      </c>
      <c r="N26" s="16">
        <f t="shared" ref="N26:O26" si="21">+N24/N25</f>
        <v>8614.1875234351264</v>
      </c>
      <c r="O26" s="16">
        <f t="shared" si="21"/>
        <v>14316.337290030369</v>
      </c>
      <c r="P26" s="16">
        <f t="shared" ref="P26:Q26" si="22">+P24/P25</f>
        <v>12462.84561072904</v>
      </c>
      <c r="Q26" s="16">
        <f t="shared" si="22"/>
        <v>18787.082114419045</v>
      </c>
    </row>
    <row r="27" spans="2:17" ht="15.75" thickTop="1"/>
    <row r="28" spans="2:17" ht="16.5" thickBot="1">
      <c r="B28" s="14" t="s">
        <v>32</v>
      </c>
      <c r="C28" s="15" t="s">
        <v>20</v>
      </c>
      <c r="D28" s="64">
        <v>11936</v>
      </c>
      <c r="E28" s="64">
        <v>20142</v>
      </c>
      <c r="F28" s="64">
        <v>19400</v>
      </c>
      <c r="G28" s="64">
        <v>18300</v>
      </c>
      <c r="H28" s="64">
        <v>22380</v>
      </c>
      <c r="I28" s="64">
        <v>20000</v>
      </c>
      <c r="J28" s="64">
        <v>28000</v>
      </c>
      <c r="K28" s="64">
        <v>8000</v>
      </c>
      <c r="L28" s="64">
        <v>20888</v>
      </c>
      <c r="M28" s="64">
        <v>23000</v>
      </c>
      <c r="N28" s="64">
        <v>6500</v>
      </c>
      <c r="O28" s="64">
        <v>13423</v>
      </c>
      <c r="P28" s="64">
        <v>11936</v>
      </c>
      <c r="Q28" s="64">
        <v>19400</v>
      </c>
    </row>
    <row r="29" spans="2:17" ht="15.75" thickTop="1">
      <c r="L29" s="18" t="s">
        <v>98</v>
      </c>
      <c r="M29" s="18" t="s">
        <v>97</v>
      </c>
    </row>
    <row r="30" spans="2:17">
      <c r="D30" s="22" t="s">
        <v>25</v>
      </c>
      <c r="E30" s="22" t="s">
        <v>26</v>
      </c>
      <c r="F30" s="22" t="s">
        <v>27</v>
      </c>
      <c r="G30" s="22" t="s">
        <v>28</v>
      </c>
      <c r="H30" s="22" t="s">
        <v>29</v>
      </c>
      <c r="I30" s="22" t="s">
        <v>30</v>
      </c>
      <c r="J30" s="22" t="s">
        <v>31</v>
      </c>
      <c r="K30" s="22" t="s">
        <v>67</v>
      </c>
      <c r="L30" s="22" t="s">
        <v>69</v>
      </c>
      <c r="M30" s="22" t="s">
        <v>69</v>
      </c>
      <c r="N30" s="86" t="s">
        <v>96</v>
      </c>
      <c r="O30" s="86" t="str">
        <f>+O4</f>
        <v>Batu</v>
      </c>
      <c r="P30" s="86" t="str">
        <f>+P4</f>
        <v>Andina</v>
      </c>
      <c r="Q30" s="22" t="str">
        <f>+Q4</f>
        <v>Teniente</v>
      </c>
    </row>
    <row r="31" spans="2:17" ht="15.75">
      <c r="B31" s="19" t="s">
        <v>34</v>
      </c>
      <c r="C31" s="23" t="s">
        <v>33</v>
      </c>
      <c r="D31" s="21">
        <f t="shared" ref="D31:J31" si="23">+D28-D26</f>
        <v>-749.2815147999172</v>
      </c>
      <c r="E31" s="21">
        <f t="shared" si="23"/>
        <v>1145.6308446481344</v>
      </c>
      <c r="F31" s="21">
        <f t="shared" si="23"/>
        <v>-38.309519787537283</v>
      </c>
      <c r="G31" s="21">
        <f t="shared" si="23"/>
        <v>-2637.1750478189715</v>
      </c>
      <c r="H31" s="21">
        <f t="shared" si="23"/>
        <v>-5453.488091055784</v>
      </c>
      <c r="I31" s="21">
        <f t="shared" si="23"/>
        <v>-1410.3754546582968</v>
      </c>
      <c r="J31" s="21">
        <f t="shared" si="23"/>
        <v>2032.1513377980446</v>
      </c>
      <c r="K31" s="21">
        <f t="shared" ref="K31:N31" si="24">+K28-K26</f>
        <v>-620.97391066471937</v>
      </c>
      <c r="L31" s="21">
        <f t="shared" si="24"/>
        <v>-3493.5974883439849</v>
      </c>
      <c r="M31" s="21">
        <f t="shared" ref="M31" si="25">+M28-M26</f>
        <v>-1381.5974883439849</v>
      </c>
      <c r="N31" s="21">
        <f t="shared" si="24"/>
        <v>-2114.1875234351264</v>
      </c>
      <c r="O31" s="21">
        <f t="shared" ref="O31:Q31" si="26">+O28-O26</f>
        <v>-893.33729003036933</v>
      </c>
      <c r="P31" s="21">
        <f t="shared" si="26"/>
        <v>-526.84561072904035</v>
      </c>
      <c r="Q31" s="21">
        <f t="shared" si="26"/>
        <v>612.91788558095504</v>
      </c>
    </row>
    <row r="32" spans="2:17">
      <c r="D32" s="65" t="s">
        <v>106</v>
      </c>
      <c r="E32" s="65" t="s">
        <v>57</v>
      </c>
      <c r="F32" s="65" t="s">
        <v>106</v>
      </c>
      <c r="G32" s="65" t="s">
        <v>106</v>
      </c>
      <c r="H32" s="65" t="s">
        <v>106</v>
      </c>
      <c r="I32" s="65" t="s">
        <v>106</v>
      </c>
      <c r="J32" s="65" t="s">
        <v>57</v>
      </c>
      <c r="K32" s="65" t="s">
        <v>106</v>
      </c>
      <c r="L32" s="65" t="s">
        <v>106</v>
      </c>
      <c r="M32" s="65" t="s">
        <v>106</v>
      </c>
      <c r="N32" s="65" t="s">
        <v>106</v>
      </c>
      <c r="O32" s="65" t="s">
        <v>106</v>
      </c>
      <c r="P32" s="65" t="s">
        <v>106</v>
      </c>
      <c r="Q32" s="65" t="s">
        <v>57</v>
      </c>
    </row>
    <row r="34" spans="6:8" ht="16.5" thickBot="1">
      <c r="F34" s="64">
        <v>20142</v>
      </c>
      <c r="H34" s="64">
        <v>23500</v>
      </c>
    </row>
    <row r="35" spans="6:8" ht="15.75" thickTop="1">
      <c r="F35" s="87">
        <f>+F34/F28</f>
        <v>1.0382474226804124</v>
      </c>
      <c r="H35" s="87">
        <f>+H34/H28</f>
        <v>1.0500446827524577</v>
      </c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3745D-3C8B-485F-BBB5-C1991E4F70AD}">
  <dimension ref="B3:J32"/>
  <sheetViews>
    <sheetView topLeftCell="A25" workbookViewId="0">
      <selection activeCell="E35" sqref="E35"/>
    </sheetView>
  </sheetViews>
  <sheetFormatPr baseColWidth="10" defaultRowHeight="15"/>
  <cols>
    <col min="2" max="2" width="41.140625" customWidth="1"/>
  </cols>
  <sheetData>
    <row r="3" spans="2:10" ht="15.75">
      <c r="B3" s="1" t="s">
        <v>0</v>
      </c>
      <c r="I3" s="18" t="s">
        <v>5</v>
      </c>
    </row>
    <row r="4" spans="2:10">
      <c r="D4" s="17" t="s">
        <v>31</v>
      </c>
      <c r="E4" s="17" t="s">
        <v>102</v>
      </c>
      <c r="F4" s="17" t="s">
        <v>102</v>
      </c>
      <c r="I4" s="76">
        <f>+D7*0.3048*1000</f>
        <v>112.4000000000006</v>
      </c>
      <c r="J4" t="s">
        <v>99</v>
      </c>
    </row>
    <row r="5" spans="2:10" ht="15.75">
      <c r="B5" s="1" t="s">
        <v>2</v>
      </c>
      <c r="C5" s="61" t="s">
        <v>3</v>
      </c>
      <c r="D5" s="61">
        <v>40</v>
      </c>
      <c r="E5" s="61">
        <v>40</v>
      </c>
      <c r="F5" s="61">
        <v>40</v>
      </c>
    </row>
    <row r="6" spans="2:10" ht="15.75">
      <c r="B6" s="3" t="s">
        <v>2</v>
      </c>
      <c r="C6" s="4" t="s">
        <v>4</v>
      </c>
      <c r="D6" s="6">
        <f t="shared" ref="D6:E6" si="0">+D5*0.3048</f>
        <v>12.192</v>
      </c>
      <c r="E6" s="6">
        <f t="shared" si="0"/>
        <v>12.192</v>
      </c>
      <c r="F6" s="6">
        <f t="shared" ref="F6" si="1">+F5*0.3048</f>
        <v>12.192</v>
      </c>
    </row>
    <row r="7" spans="2:10" ht="15.75">
      <c r="B7" s="7" t="s">
        <v>5</v>
      </c>
      <c r="C7" s="8" t="s">
        <v>3</v>
      </c>
      <c r="D7" s="9">
        <v>0.36876640419947698</v>
      </c>
      <c r="E7" s="9">
        <v>0.36876640419947698</v>
      </c>
      <c r="F7" s="9">
        <v>0.14999999999999802</v>
      </c>
      <c r="G7">
        <f>+F7*0.3048*1000</f>
        <v>45.719999999999402</v>
      </c>
      <c r="H7" t="s">
        <v>99</v>
      </c>
      <c r="I7" s="79">
        <v>7925</v>
      </c>
      <c r="J7" s="88" t="s">
        <v>101</v>
      </c>
    </row>
    <row r="8" spans="2:10" ht="15.75">
      <c r="B8" s="3" t="s">
        <v>6</v>
      </c>
      <c r="C8" s="8" t="s">
        <v>3</v>
      </c>
      <c r="D8" s="6">
        <f t="shared" ref="D8:E8" si="2">+D5-D7*2</f>
        <v>39.262467191601047</v>
      </c>
      <c r="E8" s="6">
        <f t="shared" si="2"/>
        <v>39.262467191601047</v>
      </c>
      <c r="F8" s="6">
        <f t="shared" ref="F8" si="3">+F5-F7*2</f>
        <v>39.700000000000003</v>
      </c>
      <c r="G8">
        <v>39.700000000000003</v>
      </c>
      <c r="H8" s="89">
        <f>+G8-F8</f>
        <v>0</v>
      </c>
      <c r="I8" s="89">
        <f>+I7/1000/0.3048</f>
        <v>26.000656167979002</v>
      </c>
      <c r="J8" s="88" t="s">
        <v>3</v>
      </c>
    </row>
    <row r="9" spans="2:10" ht="15.75">
      <c r="B9" s="3" t="s">
        <v>6</v>
      </c>
      <c r="C9" s="4" t="s">
        <v>4</v>
      </c>
      <c r="D9" s="10">
        <f t="shared" ref="D9:E9" si="4">+D8*0.3048</f>
        <v>11.9672</v>
      </c>
      <c r="E9" s="10">
        <f t="shared" si="4"/>
        <v>11.9672</v>
      </c>
      <c r="F9" s="10">
        <f t="shared" ref="F9" si="5">+F8*0.3048</f>
        <v>12.100560000000002</v>
      </c>
      <c r="G9" s="89">
        <f>+(F6-F9)*1000</f>
        <v>91.439999999998633</v>
      </c>
      <c r="H9" t="s">
        <v>99</v>
      </c>
    </row>
    <row r="10" spans="2:10" ht="15.75">
      <c r="B10" s="1" t="s">
        <v>7</v>
      </c>
      <c r="C10" s="61" t="s">
        <v>3</v>
      </c>
      <c r="D10" s="63">
        <v>23.6</v>
      </c>
      <c r="E10" s="63">
        <v>23.6</v>
      </c>
      <c r="F10" s="63">
        <v>23.6</v>
      </c>
      <c r="I10" s="79">
        <v>7190</v>
      </c>
      <c r="J10" s="88" t="s">
        <v>100</v>
      </c>
    </row>
    <row r="11" spans="2:10" ht="15.75">
      <c r="B11" s="3"/>
      <c r="C11" s="4" t="s">
        <v>4</v>
      </c>
      <c r="D11" s="10">
        <f t="shared" ref="D11:E11" si="6">+D10*0.3048</f>
        <v>7.1932800000000006</v>
      </c>
      <c r="E11" s="10">
        <f t="shared" si="6"/>
        <v>7.1932800000000006</v>
      </c>
      <c r="F11" s="10">
        <f t="shared" ref="F11" si="7">+F10*0.3048</f>
        <v>7.1932800000000006</v>
      </c>
      <c r="I11" s="89">
        <f>+I10/1000/0.3048</f>
        <v>23.589238845144358</v>
      </c>
      <c r="J11" s="88" t="s">
        <v>3</v>
      </c>
    </row>
    <row r="12" spans="2:10" ht="15.75">
      <c r="B12" s="3"/>
      <c r="C12" s="3"/>
    </row>
    <row r="13" spans="2:10" ht="15.75">
      <c r="B13" s="3" t="s">
        <v>8</v>
      </c>
      <c r="C13" s="4" t="s">
        <v>9</v>
      </c>
      <c r="D13" s="13">
        <v>0.3</v>
      </c>
      <c r="E13" s="13">
        <v>0.3</v>
      </c>
      <c r="F13" s="13">
        <v>0.3</v>
      </c>
      <c r="I13" s="78">
        <f>+I7-I10</f>
        <v>735</v>
      </c>
      <c r="J13" s="88" t="s">
        <v>99</v>
      </c>
    </row>
    <row r="14" spans="2:10" ht="15.75">
      <c r="B14" s="3" t="s">
        <v>10</v>
      </c>
      <c r="C14" s="4" t="s">
        <v>9</v>
      </c>
      <c r="D14" s="13">
        <v>0.18</v>
      </c>
      <c r="E14" s="90">
        <v>0.15</v>
      </c>
      <c r="F14" s="90">
        <v>0.15</v>
      </c>
      <c r="I14">
        <v>2</v>
      </c>
    </row>
    <row r="15" spans="2:10" ht="15.75">
      <c r="B15" s="3" t="s">
        <v>11</v>
      </c>
      <c r="C15" s="4" t="s">
        <v>12</v>
      </c>
      <c r="D15" s="4">
        <v>2.95</v>
      </c>
      <c r="E15" s="4">
        <v>2.95</v>
      </c>
      <c r="F15" s="4">
        <v>2.95</v>
      </c>
      <c r="I15" s="89">
        <f>+I13/I14</f>
        <v>367.5</v>
      </c>
      <c r="J15" s="88" t="s">
        <v>99</v>
      </c>
    </row>
    <row r="16" spans="2:10" ht="15.75">
      <c r="B16" s="3" t="s">
        <v>13</v>
      </c>
      <c r="C16" s="4" t="s">
        <v>12</v>
      </c>
      <c r="D16" s="12">
        <v>7.8</v>
      </c>
      <c r="E16" s="12">
        <v>7.8</v>
      </c>
      <c r="F16" s="12">
        <v>7.8</v>
      </c>
    </row>
    <row r="17" spans="2:10" ht="15.75">
      <c r="B17" s="3" t="s">
        <v>14</v>
      </c>
      <c r="C17" s="4" t="s">
        <v>9</v>
      </c>
      <c r="D17" s="13">
        <v>0.76</v>
      </c>
      <c r="E17" s="13">
        <v>0.76</v>
      </c>
      <c r="F17" s="13">
        <v>0.76</v>
      </c>
      <c r="I17" s="89">
        <f>+I8-I11</f>
        <v>2.4114173228346445</v>
      </c>
      <c r="J17" s="88" t="s">
        <v>3</v>
      </c>
    </row>
    <row r="18" spans="2:10" ht="19.5">
      <c r="B18" s="3" t="s">
        <v>15</v>
      </c>
      <c r="C18" s="4" t="s">
        <v>9</v>
      </c>
      <c r="D18" s="13">
        <v>0.3</v>
      </c>
      <c r="E18" s="13">
        <v>0.3</v>
      </c>
      <c r="F18" s="13">
        <v>0.3</v>
      </c>
      <c r="I18">
        <v>2</v>
      </c>
    </row>
    <row r="19" spans="2:10" ht="19.5">
      <c r="B19" s="3" t="s">
        <v>16</v>
      </c>
      <c r="C19" s="4" t="s">
        <v>9</v>
      </c>
      <c r="D19" s="13">
        <v>0.75</v>
      </c>
      <c r="E19" s="13">
        <v>0.76</v>
      </c>
      <c r="F19" s="13">
        <v>0.76</v>
      </c>
      <c r="I19" s="89">
        <f>+I17/I18</f>
        <v>1.2057086614173222</v>
      </c>
      <c r="J19" s="88" t="s">
        <v>3</v>
      </c>
    </row>
    <row r="20" spans="2:10" ht="15.75">
      <c r="B20" s="3" t="s">
        <v>17</v>
      </c>
      <c r="C20" s="4"/>
      <c r="D20" s="5">
        <v>10.6</v>
      </c>
      <c r="E20" s="5">
        <v>10.6</v>
      </c>
      <c r="F20" s="5">
        <v>10.6</v>
      </c>
    </row>
    <row r="21" spans="2:10" ht="15.75">
      <c r="B21" s="3" t="s">
        <v>18</v>
      </c>
      <c r="C21" s="3"/>
      <c r="D21" s="12">
        <v>1.03</v>
      </c>
      <c r="E21" s="12">
        <v>1.03</v>
      </c>
      <c r="F21" s="12">
        <v>1.03</v>
      </c>
    </row>
    <row r="22" spans="2:10" ht="16.5" thickBot="1">
      <c r="B22" s="14" t="s">
        <v>19</v>
      </c>
      <c r="C22" s="15" t="s">
        <v>20</v>
      </c>
      <c r="D22" s="16">
        <f t="shared" ref="D22:E22" si="8">D20*(D9^2.5*D11*(1-D21*D13))*((1-D18)*(D15/D17)*D13+0.6*D14*(D16-(D15/D17)))*D19*(1-(0.1/(2^(9-10*D19))))</f>
        <v>23385.902566645873</v>
      </c>
      <c r="E22" s="16">
        <f t="shared" si="8"/>
        <v>22289.165706111369</v>
      </c>
      <c r="F22" s="16">
        <f t="shared" ref="F22" si="9">F20*(F9^2.5*F11*(1-F21*F13))*((1-F18)*(F15/F17)*F13+0.6*F14*(F16-(F15/F17)))*F19*(1-(0.1/(2^(9-10*F19))))</f>
        <v>22915.329881749487</v>
      </c>
    </row>
    <row r="23" spans="2:10" ht="16.5" thickTop="1">
      <c r="B23" s="3" t="s">
        <v>21</v>
      </c>
      <c r="C23" s="3"/>
      <c r="D23" s="12">
        <v>1.05</v>
      </c>
      <c r="E23" s="12">
        <v>1.05</v>
      </c>
      <c r="F23" s="12">
        <v>1.05</v>
      </c>
    </row>
    <row r="24" spans="2:10" ht="16.5" thickBot="1">
      <c r="B24" s="14" t="s">
        <v>22</v>
      </c>
      <c r="C24" s="15" t="s">
        <v>20</v>
      </c>
      <c r="D24" s="16">
        <f t="shared" ref="D24:E24" si="10">+D22*D23</f>
        <v>24555.197694978167</v>
      </c>
      <c r="E24" s="16">
        <f t="shared" si="10"/>
        <v>23403.623991416938</v>
      </c>
      <c r="F24" s="16">
        <f t="shared" ref="F24" si="11">+F22*F23</f>
        <v>24061.096375836962</v>
      </c>
    </row>
    <row r="25" spans="2:10" ht="16.5" thickTop="1">
      <c r="B25" s="3" t="s">
        <v>23</v>
      </c>
      <c r="C25" s="3"/>
      <c r="D25" s="13">
        <v>0.9456</v>
      </c>
      <c r="E25" s="13">
        <v>0.9456</v>
      </c>
      <c r="F25" s="13">
        <v>0.9456</v>
      </c>
    </row>
    <row r="26" spans="2:10" ht="16.5" thickBot="1">
      <c r="B26" s="14" t="s">
        <v>24</v>
      </c>
      <c r="C26" s="15" t="s">
        <v>20</v>
      </c>
      <c r="D26" s="16">
        <f t="shared" ref="D26:E26" si="12">+D24/D25</f>
        <v>25967.848662201955</v>
      </c>
      <c r="E26" s="16">
        <f t="shared" si="12"/>
        <v>24750.025371633819</v>
      </c>
      <c r="F26" s="16">
        <f t="shared" ref="F26" si="13">+F24/F25</f>
        <v>25445.32188646041</v>
      </c>
    </row>
    <row r="27" spans="2:10" ht="15.75" thickTop="1"/>
    <row r="28" spans="2:10" ht="16.5" thickBot="1">
      <c r="B28" s="14" t="s">
        <v>32</v>
      </c>
      <c r="C28" s="15" t="s">
        <v>20</v>
      </c>
      <c r="D28" s="64">
        <v>28000</v>
      </c>
      <c r="E28" s="64">
        <v>28000</v>
      </c>
      <c r="F28" s="64">
        <v>28000</v>
      </c>
    </row>
    <row r="29" spans="2:10" ht="15.75" thickTop="1"/>
    <row r="30" spans="2:10">
      <c r="D30" s="22" t="s">
        <v>31</v>
      </c>
      <c r="E30" s="22" t="s">
        <v>31</v>
      </c>
      <c r="F30" s="22" t="s">
        <v>31</v>
      </c>
    </row>
    <row r="31" spans="2:10" ht="15.75">
      <c r="B31" s="19" t="s">
        <v>34</v>
      </c>
      <c r="C31" s="23" t="s">
        <v>33</v>
      </c>
      <c r="D31" s="21">
        <f t="shared" ref="D31:E31" si="14">+D28-D26</f>
        <v>2032.1513377980446</v>
      </c>
      <c r="E31" s="21">
        <f t="shared" si="14"/>
        <v>3249.9746283661807</v>
      </c>
      <c r="F31" s="21">
        <f t="shared" ref="F31" si="15">+F28-F26</f>
        <v>2554.6781135395904</v>
      </c>
    </row>
    <row r="32" spans="2:10">
      <c r="D32" s="65" t="s">
        <v>57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DB2DF-244B-44D5-8782-B01ED58C730D}">
  <dimension ref="B2:D29"/>
  <sheetViews>
    <sheetView zoomScale="70" zoomScaleNormal="70" workbookViewId="0">
      <selection activeCell="D22" sqref="D22"/>
    </sheetView>
  </sheetViews>
  <sheetFormatPr baseColWidth="10" defaultRowHeight="15"/>
  <cols>
    <col min="1" max="1" width="6" customWidth="1"/>
    <col min="2" max="2" width="45.42578125" customWidth="1"/>
  </cols>
  <sheetData>
    <row r="2" spans="2:4" ht="15.75">
      <c r="B2" s="1" t="s">
        <v>0</v>
      </c>
      <c r="C2" s="2"/>
      <c r="D2" s="2"/>
    </row>
    <row r="3" spans="2:4" ht="15.75">
      <c r="B3" s="1"/>
      <c r="C3" s="2"/>
      <c r="D3" s="2"/>
    </row>
    <row r="4" spans="2:4">
      <c r="B4" s="2"/>
      <c r="C4" s="2"/>
      <c r="D4" s="17" t="s">
        <v>75</v>
      </c>
    </row>
    <row r="5" spans="2:4" ht="15.75">
      <c r="B5" s="1" t="s">
        <v>2</v>
      </c>
      <c r="C5" s="61" t="s">
        <v>3</v>
      </c>
      <c r="D5" s="72">
        <v>40</v>
      </c>
    </row>
    <row r="6" spans="2:4" ht="15.75">
      <c r="B6" s="3" t="s">
        <v>2</v>
      </c>
      <c r="C6" s="4" t="s">
        <v>4</v>
      </c>
      <c r="D6" s="6">
        <f>+D5*0.3048</f>
        <v>12.192</v>
      </c>
    </row>
    <row r="7" spans="2:4" ht="15.75">
      <c r="B7" s="7" t="s">
        <v>5</v>
      </c>
      <c r="C7" s="8" t="s">
        <v>3</v>
      </c>
      <c r="D7" s="9">
        <v>0.36876640419947698</v>
      </c>
    </row>
    <row r="8" spans="2:4" ht="15.75">
      <c r="B8" s="3" t="s">
        <v>6</v>
      </c>
      <c r="C8" s="8" t="s">
        <v>3</v>
      </c>
      <c r="D8" s="6">
        <f>+D5-D7*2</f>
        <v>39.262467191601047</v>
      </c>
    </row>
    <row r="9" spans="2:4" ht="15.75">
      <c r="B9" s="3" t="s">
        <v>6</v>
      </c>
      <c r="C9" s="4" t="s">
        <v>4</v>
      </c>
      <c r="D9" s="10">
        <f>+D8*0.3048</f>
        <v>11.9672</v>
      </c>
    </row>
    <row r="10" spans="2:4" ht="15.75">
      <c r="B10" s="1" t="s">
        <v>7</v>
      </c>
      <c r="C10" s="61" t="s">
        <v>3</v>
      </c>
      <c r="D10" s="73">
        <v>22</v>
      </c>
    </row>
    <row r="11" spans="2:4" ht="15.75">
      <c r="B11" s="3"/>
      <c r="C11" s="4" t="s">
        <v>4</v>
      </c>
      <c r="D11" s="10">
        <f>+D10*0.3048</f>
        <v>6.7056000000000004</v>
      </c>
    </row>
    <row r="12" spans="2:4" ht="15.75">
      <c r="B12" s="3"/>
      <c r="C12" s="3"/>
      <c r="D12" s="3"/>
    </row>
    <row r="13" spans="2:4" ht="15.75">
      <c r="B13" s="3" t="s">
        <v>8</v>
      </c>
      <c r="C13" s="4" t="s">
        <v>9</v>
      </c>
      <c r="D13" s="13">
        <v>0.3</v>
      </c>
    </row>
    <row r="14" spans="2:4" ht="15.75">
      <c r="B14" s="3" t="s">
        <v>10</v>
      </c>
      <c r="C14" s="4" t="s">
        <v>9</v>
      </c>
      <c r="D14" s="13">
        <v>0.18</v>
      </c>
    </row>
    <row r="15" spans="2:4" ht="15.75">
      <c r="B15" s="3" t="s">
        <v>11</v>
      </c>
      <c r="C15" s="4" t="s">
        <v>12</v>
      </c>
      <c r="D15" s="10">
        <v>2.63</v>
      </c>
    </row>
    <row r="16" spans="2:4" ht="15.75">
      <c r="B16" s="3" t="s">
        <v>13</v>
      </c>
      <c r="C16" s="4" t="s">
        <v>12</v>
      </c>
      <c r="D16" s="12">
        <v>7.8</v>
      </c>
    </row>
    <row r="17" spans="2:4" ht="15.75">
      <c r="B17" s="3" t="s">
        <v>14</v>
      </c>
      <c r="C17" s="4" t="s">
        <v>9</v>
      </c>
      <c r="D17" s="13">
        <v>0.76</v>
      </c>
    </row>
    <row r="18" spans="2:4" ht="19.5">
      <c r="B18" s="3" t="s">
        <v>15</v>
      </c>
      <c r="C18" s="4" t="s">
        <v>9</v>
      </c>
      <c r="D18" s="13">
        <v>0.3</v>
      </c>
    </row>
    <row r="19" spans="2:4" ht="19.5">
      <c r="B19" s="3" t="s">
        <v>16</v>
      </c>
      <c r="C19" s="4" t="s">
        <v>9</v>
      </c>
      <c r="D19" s="13">
        <v>0.75</v>
      </c>
    </row>
    <row r="20" spans="2:4" ht="15.75">
      <c r="B20" s="3" t="s">
        <v>17</v>
      </c>
      <c r="C20" s="4"/>
      <c r="D20" s="5">
        <v>10.6</v>
      </c>
    </row>
    <row r="21" spans="2:4" ht="15.75">
      <c r="B21" s="3" t="s">
        <v>18</v>
      </c>
      <c r="C21" s="3"/>
      <c r="D21" s="12">
        <v>1.03</v>
      </c>
    </row>
    <row r="22" spans="2:4" ht="16.5" thickBot="1">
      <c r="B22" s="14" t="s">
        <v>19</v>
      </c>
      <c r="C22" s="15" t="s">
        <v>20</v>
      </c>
      <c r="D22" s="16">
        <f>D20*(D9^2.5*D11*(1-D21*D13))*((1-D18)*(D15/D17)*D13+0.6*D14*(D16-(D15/D17)))*D19*(1-(0.1/(2^(9-10*D19))))</f>
        <v>21044.337011384276</v>
      </c>
    </row>
    <row r="23" spans="2:4" ht="16.5" thickTop="1">
      <c r="B23" s="3" t="s">
        <v>21</v>
      </c>
      <c r="C23" s="3"/>
      <c r="D23" s="12">
        <v>1.05</v>
      </c>
    </row>
    <row r="24" spans="2:4" ht="16.5" thickBot="1">
      <c r="B24" s="14" t="s">
        <v>22</v>
      </c>
      <c r="C24" s="15" t="s">
        <v>20</v>
      </c>
      <c r="D24" s="16">
        <f>+D22*D23</f>
        <v>22096.553861953489</v>
      </c>
    </row>
    <row r="25" spans="2:4" ht="16.5" thickTop="1">
      <c r="B25" s="3" t="s">
        <v>23</v>
      </c>
      <c r="C25" s="3"/>
      <c r="D25" s="13">
        <v>0.9456</v>
      </c>
    </row>
    <row r="26" spans="2:4" ht="16.5" thickBot="1">
      <c r="B26" s="14" t="s">
        <v>24</v>
      </c>
      <c r="C26" s="15" t="s">
        <v>20</v>
      </c>
      <c r="D26" s="16">
        <f>+D24/D25</f>
        <v>23367.76000629599</v>
      </c>
    </row>
    <row r="27" spans="2:4" ht="15.75" thickTop="1"/>
    <row r="28" spans="2:4" ht="16.5" thickBot="1">
      <c r="B28" s="14" t="s">
        <v>32</v>
      </c>
      <c r="C28" s="15" t="s">
        <v>20</v>
      </c>
      <c r="D28" s="64">
        <v>23000</v>
      </c>
    </row>
    <row r="29" spans="2:4" ht="15.75" thickTop="1"/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D28C4-D509-42F0-90E4-6F56FB7486CF}">
  <dimension ref="B3:M61"/>
  <sheetViews>
    <sheetView topLeftCell="A46" workbookViewId="0">
      <selection activeCell="C29" sqref="C29"/>
    </sheetView>
  </sheetViews>
  <sheetFormatPr baseColWidth="10" defaultRowHeight="15"/>
  <cols>
    <col min="1" max="1" width="6.7109375" customWidth="1"/>
    <col min="2" max="2" width="22.7109375" customWidth="1"/>
  </cols>
  <sheetData>
    <row r="3" spans="2:4">
      <c r="C3" s="18"/>
    </row>
    <row r="4" spans="2:4">
      <c r="B4" t="s">
        <v>76</v>
      </c>
      <c r="C4" s="18" t="s">
        <v>3</v>
      </c>
      <c r="D4">
        <v>32</v>
      </c>
    </row>
    <row r="5" spans="2:4">
      <c r="B5" t="s">
        <v>77</v>
      </c>
      <c r="C5" s="18" t="s">
        <v>3</v>
      </c>
      <c r="D5">
        <v>17</v>
      </c>
    </row>
    <row r="6" spans="2:4">
      <c r="B6" t="s">
        <v>76</v>
      </c>
      <c r="C6" s="18" t="s">
        <v>4</v>
      </c>
      <c r="D6">
        <f>+D4*0.3048</f>
        <v>9.7536000000000005</v>
      </c>
    </row>
    <row r="7" spans="2:4">
      <c r="B7" t="s">
        <v>77</v>
      </c>
      <c r="C7" s="18" t="s">
        <v>4</v>
      </c>
      <c r="D7">
        <f>+D5*0.3048</f>
        <v>5.1816000000000004</v>
      </c>
    </row>
    <row r="8" spans="2:4">
      <c r="C8" s="18"/>
    </row>
    <row r="9" spans="2:4">
      <c r="C9" s="18"/>
    </row>
    <row r="10" spans="2:4" ht="19.5">
      <c r="B10" s="75" t="s">
        <v>78</v>
      </c>
      <c r="C10" s="18" t="s">
        <v>12</v>
      </c>
      <c r="D10">
        <v>2.7</v>
      </c>
    </row>
    <row r="11" spans="2:4" ht="19.5">
      <c r="B11" s="75" t="s">
        <v>83</v>
      </c>
      <c r="C11" s="18" t="s">
        <v>12</v>
      </c>
      <c r="D11">
        <v>7.8</v>
      </c>
    </row>
    <row r="12" spans="2:4">
      <c r="B12" t="s">
        <v>79</v>
      </c>
      <c r="C12" s="18"/>
      <c r="D12">
        <v>0.3</v>
      </c>
    </row>
    <row r="13" spans="2:4">
      <c r="B13" t="s">
        <v>80</v>
      </c>
      <c r="C13" s="18"/>
      <c r="D13">
        <v>0.1</v>
      </c>
    </row>
    <row r="14" spans="2:4">
      <c r="B14" s="74" t="s">
        <v>5</v>
      </c>
      <c r="C14" s="18"/>
      <c r="D14">
        <v>0.4</v>
      </c>
    </row>
    <row r="15" spans="2:4">
      <c r="B15" t="s">
        <v>84</v>
      </c>
      <c r="C15" s="18" t="s">
        <v>81</v>
      </c>
      <c r="D15" s="78">
        <f>PI()*(D6^2/4)*D7</f>
        <v>387.15390792866776</v>
      </c>
    </row>
    <row r="16" spans="2:4">
      <c r="B16" t="s">
        <v>85</v>
      </c>
      <c r="C16" s="18" t="s">
        <v>9</v>
      </c>
      <c r="D16" s="76">
        <v>0.75</v>
      </c>
    </row>
    <row r="17" spans="2:13">
      <c r="B17" t="s">
        <v>87</v>
      </c>
      <c r="C17" s="18" t="s">
        <v>82</v>
      </c>
      <c r="D17" s="78">
        <f>D15*((1-D14)*D12*D10-(1-0.4)*D13*D10)</f>
        <v>125.43786616888833</v>
      </c>
    </row>
    <row r="18" spans="2:13" ht="18">
      <c r="B18" t="s">
        <v>88</v>
      </c>
      <c r="C18" s="18" t="s">
        <v>82</v>
      </c>
      <c r="D18" s="78">
        <f>D15*D13*D11</f>
        <v>301.98004818436084</v>
      </c>
    </row>
    <row r="19" spans="2:13" ht="18">
      <c r="B19" t="s">
        <v>89</v>
      </c>
      <c r="C19" s="18" t="s">
        <v>82</v>
      </c>
      <c r="D19" s="78">
        <f>+D17*(1-D16)/D16</f>
        <v>41.812622056296114</v>
      </c>
      <c r="M19" s="77">
        <f>(186+60+204)/(0.4*359)</f>
        <v>3.1337047353760448</v>
      </c>
    </row>
    <row r="20" spans="2:13" ht="19.5">
      <c r="B20" s="75" t="s">
        <v>86</v>
      </c>
      <c r="C20" s="18" t="s">
        <v>12</v>
      </c>
      <c r="D20">
        <f>(D17+D19+D18)/(D12*D15)</f>
        <v>4.0399999999999991</v>
      </c>
    </row>
    <row r="22" spans="2:13">
      <c r="B22" t="s">
        <v>90</v>
      </c>
      <c r="D22" s="81">
        <v>5.1994774329389051</v>
      </c>
    </row>
    <row r="23" spans="2:13">
      <c r="B23" t="s">
        <v>91</v>
      </c>
      <c r="D23">
        <v>1.1000000000000001</v>
      </c>
    </row>
    <row r="25" spans="2:13">
      <c r="B25" t="s">
        <v>92</v>
      </c>
      <c r="C25" s="18" t="s">
        <v>20</v>
      </c>
      <c r="D25" s="79">
        <f>D22*D6^2.5*D7*D12*(1-D23*D12)*D20</f>
        <v>6500.0000000000009</v>
      </c>
    </row>
    <row r="26" spans="2:13">
      <c r="D26" s="79">
        <v>6500</v>
      </c>
    </row>
    <row r="27" spans="2:13">
      <c r="D27" s="80">
        <f>+D25-D26</f>
        <v>0</v>
      </c>
    </row>
    <row r="50" spans="7:8">
      <c r="G50" s="17" t="s">
        <v>93</v>
      </c>
      <c r="H50" s="17" t="s">
        <v>94</v>
      </c>
    </row>
    <row r="51" spans="7:8">
      <c r="G51" s="82">
        <v>30000</v>
      </c>
      <c r="H51" s="83">
        <v>98</v>
      </c>
    </row>
    <row r="52" spans="7:8">
      <c r="G52" s="82">
        <v>13000</v>
      </c>
      <c r="H52" s="83">
        <v>92</v>
      </c>
    </row>
    <row r="53" spans="7:8">
      <c r="G53" s="82">
        <v>10000</v>
      </c>
      <c r="H53" s="83">
        <v>91</v>
      </c>
    </row>
    <row r="54" spans="7:8">
      <c r="G54" s="82">
        <v>5000</v>
      </c>
      <c r="H54" s="83">
        <v>88</v>
      </c>
    </row>
    <row r="55" spans="7:8">
      <c r="G55" s="82">
        <v>2440</v>
      </c>
      <c r="H55" s="83">
        <v>83</v>
      </c>
    </row>
    <row r="56" spans="7:8">
      <c r="G56" s="82">
        <v>1170</v>
      </c>
      <c r="H56" s="83">
        <v>71</v>
      </c>
    </row>
    <row r="57" spans="7:8">
      <c r="G57" s="83">
        <v>480</v>
      </c>
      <c r="H57" s="83">
        <v>51</v>
      </c>
    </row>
    <row r="58" spans="7:8">
      <c r="G58" s="83">
        <v>235</v>
      </c>
      <c r="H58" s="83">
        <v>37</v>
      </c>
    </row>
    <row r="59" spans="7:8">
      <c r="G59" s="83">
        <v>109</v>
      </c>
      <c r="H59" s="83">
        <v>27</v>
      </c>
    </row>
    <row r="60" spans="7:8">
      <c r="G60" s="83">
        <v>45</v>
      </c>
      <c r="H60" s="83">
        <v>19</v>
      </c>
    </row>
    <row r="61" spans="7:8">
      <c r="G61" s="65" t="s">
        <v>95</v>
      </c>
      <c r="H61" s="84">
        <f>((((H55-80)/(80-H56)*(G56)+G55))/((H55-80)/(80-H56)+1))</f>
        <v>2122.5</v>
      </c>
    </row>
  </sheetData>
  <phoneticPr fontId="29" type="noConversion"/>
  <pageMargins left="0.7" right="0.7" top="0.75" bottom="0.75" header="0.3" footer="0.3"/>
  <pageSetup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19F9B-3613-4526-8168-89EAEC6F80C3}">
  <dimension ref="A2:AQ58"/>
  <sheetViews>
    <sheetView tabSelected="1" topLeftCell="A7" zoomScale="40" zoomScaleNormal="40" workbookViewId="0">
      <selection activeCell="AW61" sqref="AW61"/>
    </sheetView>
  </sheetViews>
  <sheetFormatPr baseColWidth="10" defaultColWidth="6.7109375" defaultRowHeight="14.25"/>
  <cols>
    <col min="1" max="1" width="4.42578125" style="2" customWidth="1"/>
    <col min="2" max="2" width="6.7109375" style="2"/>
    <col min="3" max="3" width="6.85546875" style="2" bestFit="1" customWidth="1"/>
    <col min="4" max="4" width="7.5703125" style="2" bestFit="1" customWidth="1"/>
    <col min="5" max="5" width="7.140625" style="2" bestFit="1" customWidth="1"/>
    <col min="6" max="6" width="6.7109375" style="2"/>
    <col min="7" max="8" width="6.85546875" style="2" bestFit="1" customWidth="1"/>
    <col min="9" max="10" width="6.7109375" style="2"/>
    <col min="11" max="11" width="8.140625" style="2" bestFit="1" customWidth="1"/>
    <col min="12" max="12" width="8.28515625" style="2" bestFit="1" customWidth="1"/>
    <col min="13" max="13" width="6.7109375" style="2"/>
    <col min="14" max="15" width="6.85546875" style="2" bestFit="1" customWidth="1"/>
    <col min="16" max="16" width="6.7109375" style="2"/>
    <col min="17" max="18" width="6.85546875" style="2" bestFit="1" customWidth="1"/>
    <col min="19" max="21" width="6.7109375" style="2"/>
    <col min="22" max="24" width="6.85546875" style="2" bestFit="1" customWidth="1"/>
    <col min="25" max="25" width="7.28515625" style="2" customWidth="1"/>
    <col min="26" max="27" width="6.7109375" style="2"/>
    <col min="28" max="28" width="6.85546875" style="2" bestFit="1" customWidth="1"/>
    <col min="29" max="30" width="6.7109375" style="2"/>
    <col min="31" max="31" width="6.85546875" style="2" bestFit="1" customWidth="1"/>
    <col min="32" max="32" width="7.7109375" style="2" customWidth="1"/>
    <col min="33" max="33" width="7.5703125" style="2" customWidth="1"/>
    <col min="34" max="34" width="6.85546875" style="2" bestFit="1" customWidth="1"/>
    <col min="35" max="36" width="6.7109375" style="2"/>
    <col min="37" max="37" width="7.28515625" style="2" bestFit="1" customWidth="1"/>
    <col min="38" max="39" width="12.7109375" style="2" customWidth="1"/>
    <col min="40" max="40" width="8.140625" style="2" customWidth="1"/>
    <col min="41" max="41" width="7.5703125" style="2" customWidth="1"/>
    <col min="42" max="42" width="9.140625" style="2" customWidth="1"/>
    <col min="43" max="43" width="8.7109375" style="2" customWidth="1"/>
    <col min="44" max="16384" width="6.7109375" style="2"/>
  </cols>
  <sheetData>
    <row r="2" spans="1:38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38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</row>
    <row r="4" spans="1:38">
      <c r="A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</row>
    <row r="5" spans="1:38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5">
        <f>+E13</f>
        <v>3</v>
      </c>
      <c r="AH5" s="26" t="str">
        <f>+F13</f>
        <v>Diseño</v>
      </c>
      <c r="AI5" s="24"/>
      <c r="AJ5" s="24"/>
    </row>
    <row r="6" spans="1:38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7">
        <f>+E14/2</f>
        <v>884.8566308243727</v>
      </c>
      <c r="AH6" s="27">
        <f>(F14+G9+K12+R12+Q40+Y7+AD20+W46+X48)/2-W25/2</f>
        <v>1240.5592891278375</v>
      </c>
      <c r="AI6" s="24"/>
      <c r="AJ6" s="24"/>
    </row>
    <row r="7" spans="1:38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8">
        <f>+AD20</f>
        <v>0</v>
      </c>
      <c r="Z7" s="24"/>
      <c r="AA7" s="24"/>
      <c r="AB7" s="24"/>
      <c r="AC7" s="24"/>
      <c r="AD7" s="24"/>
      <c r="AE7" s="24"/>
      <c r="AF7" s="24"/>
      <c r="AG7" s="27">
        <f>+AG6/AG5+AH6</f>
        <v>1535.5114994026285</v>
      </c>
      <c r="AH7" s="29">
        <f>+AG6/(AH6+AG6)</f>
        <v>0.41632163498816205</v>
      </c>
      <c r="AI7" s="24"/>
      <c r="AJ7" s="24"/>
      <c r="AK7" s="30">
        <v>0.36</v>
      </c>
      <c r="AL7" s="31">
        <f>+AK7-AH7</f>
        <v>-5.6321634988162061E-2</v>
      </c>
    </row>
    <row r="8" spans="1:38">
      <c r="A8" s="24"/>
      <c r="B8" s="24"/>
      <c r="C8" s="24"/>
      <c r="D8" s="24"/>
      <c r="E8" s="24"/>
      <c r="F8" s="25">
        <f>+E13</f>
        <v>3</v>
      </c>
      <c r="G8" s="32" t="str">
        <f>+F13</f>
        <v>Diseño</v>
      </c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Z8" s="24"/>
      <c r="AA8" s="24"/>
      <c r="AB8" s="24"/>
      <c r="AC8" s="24"/>
      <c r="AD8" s="24"/>
      <c r="AE8" s="24"/>
      <c r="AF8" s="24"/>
      <c r="AG8" s="33">
        <f>+AG5/(AG5*((1-AH7))+AH7)</f>
        <v>1.3841745377869699</v>
      </c>
      <c r="AH8" s="34"/>
      <c r="AI8" s="24"/>
      <c r="AJ8" s="24"/>
    </row>
    <row r="9" spans="1:38">
      <c r="A9" s="24"/>
      <c r="B9" s="24"/>
      <c r="C9" s="24"/>
      <c r="D9" s="24"/>
      <c r="E9" s="35">
        <v>0.25</v>
      </c>
      <c r="F9" s="36">
        <f>+E14*E9</f>
        <v>442.42831541218635</v>
      </c>
      <c r="G9" s="37">
        <f>+F9*(1-G10)/G10</f>
        <v>49.158701712465138</v>
      </c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</row>
    <row r="10" spans="1:38">
      <c r="A10" s="24"/>
      <c r="B10" s="24"/>
      <c r="C10" s="24"/>
      <c r="D10" s="24"/>
      <c r="E10" s="24"/>
      <c r="F10" s="37">
        <f>+F9/F8+G9</f>
        <v>196.63480684986058</v>
      </c>
      <c r="G10" s="29">
        <v>0.9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38">
        <f>+AG6*2*24*2</f>
        <v>84946.236559139783</v>
      </c>
      <c r="AG10" s="24" t="s">
        <v>35</v>
      </c>
      <c r="AH10" s="24"/>
      <c r="AI10" s="24"/>
      <c r="AJ10" s="24"/>
    </row>
    <row r="11" spans="1:38" ht="16.5">
      <c r="A11" s="24"/>
      <c r="B11" s="24"/>
      <c r="C11" s="24"/>
      <c r="D11" s="24"/>
      <c r="E11" s="24"/>
      <c r="F11" s="33">
        <f>+F8/(F8*((1-G10))+G10)</f>
        <v>2.5</v>
      </c>
      <c r="G11" s="34">
        <f>1-G10</f>
        <v>9.9999999999999978E-2</v>
      </c>
      <c r="H11" s="24"/>
      <c r="I11" s="24"/>
      <c r="J11" s="24"/>
      <c r="K11" s="39" t="s">
        <v>36</v>
      </c>
      <c r="L11" s="24"/>
      <c r="M11" s="24"/>
      <c r="N11" s="24">
        <f>+O16/I16</f>
        <v>0.3888888888888889</v>
      </c>
      <c r="O11" s="24" t="s">
        <v>37</v>
      </c>
      <c r="P11" s="24"/>
      <c r="Q11" s="24"/>
      <c r="R11" s="39" t="s">
        <v>36</v>
      </c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40">
        <f>+D21</f>
        <v>0.93</v>
      </c>
      <c r="AG11" s="24"/>
      <c r="AH11" s="24"/>
      <c r="AI11" s="24"/>
      <c r="AJ11" s="24"/>
    </row>
    <row r="12" spans="1:38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41">
        <f>+O16-J16</f>
        <v>756.38517841086843</v>
      </c>
      <c r="L12" s="24"/>
      <c r="M12" s="24"/>
      <c r="N12" s="24"/>
      <c r="O12" s="24"/>
      <c r="P12" s="24"/>
      <c r="Q12" s="24"/>
      <c r="R12" s="42">
        <v>225</v>
      </c>
      <c r="S12" s="24"/>
      <c r="T12" s="24"/>
      <c r="U12" s="24"/>
      <c r="V12" s="24" t="s">
        <v>38</v>
      </c>
      <c r="W12" s="24"/>
      <c r="X12" s="24"/>
      <c r="Y12" s="24"/>
      <c r="Z12" s="24"/>
      <c r="AA12" s="24"/>
      <c r="AB12" s="24"/>
      <c r="AC12" s="24"/>
      <c r="AD12" s="24"/>
      <c r="AE12" s="24"/>
      <c r="AF12" s="38">
        <f>+AF10*AF11</f>
        <v>79000</v>
      </c>
      <c r="AG12" s="24" t="s">
        <v>39</v>
      </c>
      <c r="AH12" s="24"/>
      <c r="AI12" s="24"/>
      <c r="AJ12" s="24"/>
      <c r="AK12" s="2" t="s">
        <v>40</v>
      </c>
    </row>
    <row r="13" spans="1:38" ht="15">
      <c r="A13" s="24"/>
      <c r="B13" s="24"/>
      <c r="C13" s="24"/>
      <c r="D13" s="24"/>
      <c r="E13" s="43">
        <v>3</v>
      </c>
      <c r="F13" s="44" t="s">
        <v>41</v>
      </c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45" t="s">
        <v>42</v>
      </c>
      <c r="W13" s="46">
        <v>4.5</v>
      </c>
      <c r="X13" s="24"/>
      <c r="Y13" s="24"/>
      <c r="Z13" s="24"/>
      <c r="AA13" s="24"/>
      <c r="AB13" s="24"/>
      <c r="AC13" s="24"/>
      <c r="AD13" s="24"/>
      <c r="AE13" s="24"/>
      <c r="AF13" s="38">
        <f>+AF12/24/AF11</f>
        <v>3539.4265232974908</v>
      </c>
      <c r="AG13" s="24" t="s">
        <v>43</v>
      </c>
      <c r="AH13" s="24"/>
      <c r="AI13" s="24"/>
      <c r="AJ13" s="24"/>
      <c r="AK13" s="2" t="s">
        <v>44</v>
      </c>
      <c r="AL13" s="47">
        <f>+AG33</f>
        <v>4866.7114695340497</v>
      </c>
    </row>
    <row r="14" spans="1:38">
      <c r="A14" s="24"/>
      <c r="B14" s="24"/>
      <c r="C14" s="24"/>
      <c r="D14" s="24"/>
      <c r="E14" s="36">
        <v>1769.7132616487454</v>
      </c>
      <c r="F14" s="37">
        <f>+E14*(1-F15)/F15</f>
        <v>54.733399844806613</v>
      </c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>
        <v>2</v>
      </c>
      <c r="AG14" s="24" t="s">
        <v>45</v>
      </c>
      <c r="AH14" s="24"/>
      <c r="AI14" s="24"/>
      <c r="AJ14" s="24"/>
      <c r="AK14" s="2" t="s">
        <v>46</v>
      </c>
      <c r="AL14" s="47">
        <f>+AG6+V30</f>
        <v>4866.7114695340497</v>
      </c>
    </row>
    <row r="15" spans="1:38">
      <c r="A15" s="24"/>
      <c r="B15" s="24"/>
      <c r="C15" s="24"/>
      <c r="D15" s="24"/>
      <c r="E15" s="37">
        <f>+E14/E13+F14</f>
        <v>644.63782039438843</v>
      </c>
      <c r="F15" s="29">
        <v>0.97</v>
      </c>
      <c r="G15" s="24"/>
      <c r="H15" s="24"/>
      <c r="I15" s="25">
        <f>+E13</f>
        <v>3</v>
      </c>
      <c r="J15" s="26" t="str">
        <f>+F13</f>
        <v>Diseño</v>
      </c>
      <c r="K15" s="24"/>
      <c r="L15" s="24"/>
      <c r="M15" s="24"/>
      <c r="N15" s="25">
        <f>+E13</f>
        <v>3</v>
      </c>
      <c r="O15" s="26" t="str">
        <f>+F13</f>
        <v>Diseño</v>
      </c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38">
        <f>+AF13/AF14</f>
        <v>1769.7132616487454</v>
      </c>
      <c r="AG15" s="24" t="s">
        <v>47</v>
      </c>
      <c r="AH15" s="24"/>
      <c r="AI15" s="24"/>
      <c r="AJ15" s="24"/>
      <c r="AL15" s="47">
        <f>+AL13-AL14</f>
        <v>0</v>
      </c>
    </row>
    <row r="16" spans="1:38">
      <c r="A16" s="24"/>
      <c r="B16" s="24"/>
      <c r="C16" s="24"/>
      <c r="D16" s="24"/>
      <c r="E16" s="33">
        <f>+E13/(E13*((1-F15))+F15)</f>
        <v>2.8301886792452828</v>
      </c>
      <c r="F16" s="34">
        <f>1-F15</f>
        <v>3.0000000000000027E-2</v>
      </c>
      <c r="G16" s="24"/>
      <c r="H16" s="24"/>
      <c r="I16" s="27">
        <f>+E14+F9</f>
        <v>2212.1415770609319</v>
      </c>
      <c r="J16" s="37">
        <f>+F14+G9</f>
        <v>103.89210155727176</v>
      </c>
      <c r="K16" s="24"/>
      <c r="L16" s="24"/>
      <c r="M16" s="24"/>
      <c r="N16" s="27">
        <f>+I16</f>
        <v>2212.1415770609319</v>
      </c>
      <c r="O16" s="27">
        <f>+N16*(1-O17)/O17</f>
        <v>860.27727996814019</v>
      </c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</row>
    <row r="17" spans="1:38">
      <c r="A17" s="24"/>
      <c r="B17" s="24"/>
      <c r="C17" s="24"/>
      <c r="D17" s="24"/>
      <c r="E17" s="24"/>
      <c r="F17" s="24"/>
      <c r="G17" s="24"/>
      <c r="H17" s="24"/>
      <c r="I17" s="27">
        <f>+I16/I15+J16</f>
        <v>841.27262724424907</v>
      </c>
      <c r="J17" s="29">
        <f>+I16/(J16+I16)</f>
        <v>0.95514223194748349</v>
      </c>
      <c r="K17" s="24"/>
      <c r="L17" s="24"/>
      <c r="M17" s="24"/>
      <c r="N17" s="27">
        <f>+N16/N15+O16</f>
        <v>1597.6578056551175</v>
      </c>
      <c r="O17" s="48">
        <v>0.72</v>
      </c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</row>
    <row r="18" spans="1:38">
      <c r="A18" s="24"/>
      <c r="B18" s="24"/>
      <c r="C18" s="24"/>
      <c r="D18" s="24"/>
      <c r="E18" s="24"/>
      <c r="F18" s="24"/>
      <c r="G18" s="24"/>
      <c r="H18" s="24"/>
      <c r="I18" s="33">
        <f>+I15/(I15*((1-J17))+J17)</f>
        <v>2.7530120481927707</v>
      </c>
      <c r="J18" s="34">
        <f>1-J17</f>
        <v>4.4857768052516511E-2</v>
      </c>
      <c r="K18" s="24"/>
      <c r="L18" s="24"/>
      <c r="M18" s="24"/>
      <c r="N18" s="33">
        <f>+N15/(N15*((1-O17))+O17)</f>
        <v>1.9230769230769229</v>
      </c>
      <c r="O18" s="3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" t="s">
        <v>48</v>
      </c>
    </row>
    <row r="19" spans="1:38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" t="s">
        <v>44</v>
      </c>
      <c r="AL19" s="47">
        <f>+AH33</f>
        <v>2509.022136345131</v>
      </c>
    </row>
    <row r="20" spans="1:38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8">
        <v>0</v>
      </c>
      <c r="AE20" s="24"/>
      <c r="AF20" s="24"/>
      <c r="AG20" s="24"/>
      <c r="AH20" s="24"/>
      <c r="AI20" s="24"/>
      <c r="AJ20" s="24"/>
      <c r="AK20" s="2" t="s">
        <v>46</v>
      </c>
      <c r="AL20" s="47">
        <f>+AH6+W30</f>
        <v>2509.022136345131</v>
      </c>
    </row>
    <row r="21" spans="1:38">
      <c r="A21" s="24"/>
      <c r="B21" s="24"/>
      <c r="C21" s="24"/>
      <c r="D21" s="49">
        <v>0.93</v>
      </c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L21" s="47">
        <f>+AL19-AL20</f>
        <v>0</v>
      </c>
    </row>
    <row r="22" spans="1:38">
      <c r="A22" s="24"/>
      <c r="B22" s="24"/>
      <c r="C22" s="24"/>
      <c r="D22" s="38">
        <f>+E14*24*2*D21</f>
        <v>79000</v>
      </c>
      <c r="E22" s="24" t="s">
        <v>49</v>
      </c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 t="s">
        <v>50</v>
      </c>
      <c r="X22" s="38">
        <f>7500*0.746</f>
        <v>5595</v>
      </c>
      <c r="Y22" s="24" t="s">
        <v>20</v>
      </c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</row>
    <row r="23" spans="1:38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 t="s">
        <v>51</v>
      </c>
      <c r="X23" s="38">
        <f>9100*0.746</f>
        <v>6788.6</v>
      </c>
      <c r="Y23" s="24" t="s">
        <v>20</v>
      </c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</row>
    <row r="24" spans="1:38">
      <c r="A24" s="24"/>
      <c r="B24" s="24"/>
      <c r="C24" s="24"/>
      <c r="D24" s="38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5">
        <f>+E13</f>
        <v>3</v>
      </c>
      <c r="W24" s="32" t="str">
        <f>+F13</f>
        <v>Diseño</v>
      </c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</row>
    <row r="25" spans="1:38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36">
        <f>+F9</f>
        <v>442.42831541218635</v>
      </c>
      <c r="W25" s="37">
        <f>+V25*(1-W26)/W26</f>
        <v>49.158701712465138</v>
      </c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</row>
    <row r="26" spans="1:38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37">
        <f>+V25/V24+W25</f>
        <v>196.63480684986058</v>
      </c>
      <c r="W26" s="29">
        <v>0.9</v>
      </c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</row>
    <row r="27" spans="1:38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33">
        <f>+V24/(V24*((1-W26))+W26)</f>
        <v>2.5</v>
      </c>
      <c r="W27" s="34">
        <f>1-W26</f>
        <v>9.9999999999999978E-2</v>
      </c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</row>
    <row r="28" spans="1:38" ht="15.75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59">
        <f>16000*0.746</f>
        <v>11936</v>
      </c>
      <c r="M28" s="60" t="s">
        <v>20</v>
      </c>
      <c r="N28" s="24"/>
      <c r="O28" s="24"/>
      <c r="P28" s="24"/>
      <c r="Q28" s="25">
        <f>+E13</f>
        <v>3</v>
      </c>
      <c r="R28" s="26" t="str">
        <f>+F13</f>
        <v>Diseño</v>
      </c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</row>
    <row r="29" spans="1:38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33">
        <f>+L28*0.9/E14</f>
        <v>6.0701358987341774</v>
      </c>
      <c r="M29" s="24" t="s">
        <v>52</v>
      </c>
      <c r="N29" s="24"/>
      <c r="O29" s="24"/>
      <c r="P29" s="24"/>
      <c r="Q29" s="27">
        <f>+N16-V25</f>
        <v>1769.7132616487456</v>
      </c>
      <c r="R29" s="27">
        <f>+O16+R12-W25</f>
        <v>1036.1185782556749</v>
      </c>
      <c r="S29" s="24"/>
      <c r="T29" s="24"/>
      <c r="U29" s="24"/>
      <c r="V29" s="25">
        <f>+E13</f>
        <v>3</v>
      </c>
      <c r="W29" s="32" t="str">
        <f>+F13</f>
        <v>Diseño</v>
      </c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</row>
    <row r="30" spans="1:38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7">
        <f>+Q29/Q28+R29</f>
        <v>1626.022998805257</v>
      </c>
      <c r="R30" s="29">
        <f>+Q29/(R29+Q29)</f>
        <v>0.63072677288779722</v>
      </c>
      <c r="S30" s="24"/>
      <c r="T30" s="24"/>
      <c r="U30" s="24"/>
      <c r="V30" s="27">
        <f>+AG33-AG6</f>
        <v>3981.8548387096771</v>
      </c>
      <c r="W30" s="27">
        <f>+V30*(1-W31)/W31</f>
        <v>1268.4628472172933</v>
      </c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</row>
    <row r="31" spans="1:38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33">
        <f>+Q28/(Q28*((1-R30))+R30)</f>
        <v>1.725579430282379</v>
      </c>
      <c r="R31" s="24"/>
      <c r="S31" s="24"/>
      <c r="T31" s="24"/>
      <c r="U31" s="24"/>
      <c r="V31" s="27">
        <f>+V30/V29+W30</f>
        <v>2595.7477934538524</v>
      </c>
      <c r="W31" s="50">
        <v>0.75840264854500139</v>
      </c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</row>
    <row r="32" spans="1:38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34"/>
      <c r="S32" s="24"/>
      <c r="T32" s="24"/>
      <c r="U32" s="24"/>
      <c r="V32" s="33">
        <f>+V29/(V29*((1-W31))+W31)</f>
        <v>2.0226609453998603</v>
      </c>
      <c r="W32" s="34"/>
      <c r="X32" s="24"/>
      <c r="Y32" s="24"/>
      <c r="Z32" s="24"/>
      <c r="AA32" s="24"/>
      <c r="AB32" s="24"/>
      <c r="AC32" s="24"/>
      <c r="AD32" s="24"/>
      <c r="AE32" s="24"/>
      <c r="AF32" s="24"/>
      <c r="AG32" s="25">
        <f>+E13</f>
        <v>3</v>
      </c>
      <c r="AH32" s="26" t="str">
        <f>+F13</f>
        <v>Diseño</v>
      </c>
      <c r="AI32" s="24"/>
      <c r="AJ32" s="24"/>
    </row>
    <row r="33" spans="1:43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7">
        <f>+AG6*(1+W13)</f>
        <v>4866.7114695340497</v>
      </c>
      <c r="AH33" s="27">
        <f>(R29+Q40+W30*2)/2+X48</f>
        <v>2509.022136345131</v>
      </c>
      <c r="AI33" s="38">
        <f>+AG33*(1-AH34)/AH34</f>
        <v>2509.0221363451305</v>
      </c>
      <c r="AJ33" s="24"/>
    </row>
    <row r="34" spans="1:43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7">
        <f>+AG33/AG32+AH33</f>
        <v>4131.2592928564809</v>
      </c>
      <c r="AH34" s="29">
        <f>+AG33/(AH33+AG33)</f>
        <v>0.65982744626986056</v>
      </c>
      <c r="AI34" s="24"/>
      <c r="AJ34" s="24"/>
      <c r="AK34" s="58">
        <v>0.66</v>
      </c>
      <c r="AL34" s="57">
        <f>+AK34-AH34</f>
        <v>1.7255373013946862E-4</v>
      </c>
    </row>
    <row r="35" spans="1:43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 t="s">
        <v>50</v>
      </c>
      <c r="Y35" s="38">
        <f>7500*0.746</f>
        <v>5595</v>
      </c>
      <c r="Z35" s="24" t="s">
        <v>20</v>
      </c>
      <c r="AA35" s="24"/>
      <c r="AB35" s="24"/>
      <c r="AC35" s="24"/>
      <c r="AD35" s="24"/>
      <c r="AE35" s="24"/>
      <c r="AF35" s="24"/>
      <c r="AG35" s="33">
        <f>+AG32/(AG32*((1-AH34))+AH34)</f>
        <v>1.7853475376461714</v>
      </c>
      <c r="AH35" s="34"/>
      <c r="AI35" s="24"/>
      <c r="AJ35" s="24"/>
    </row>
    <row r="36" spans="1:43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 t="s">
        <v>51</v>
      </c>
      <c r="Y36" s="38">
        <f>9100*0.746</f>
        <v>6788.6</v>
      </c>
      <c r="Z36" s="24" t="s">
        <v>20</v>
      </c>
      <c r="AA36" s="24"/>
      <c r="AB36" s="24"/>
      <c r="AC36" s="24"/>
      <c r="AD36" s="24"/>
      <c r="AE36" s="24"/>
      <c r="AF36" s="24"/>
      <c r="AG36" s="24"/>
      <c r="AH36" s="24"/>
      <c r="AI36" s="24"/>
      <c r="AJ36" s="24"/>
    </row>
    <row r="37" spans="1:43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33">
        <f>+Y36/AG6</f>
        <v>7.6719773164556972</v>
      </c>
      <c r="Z37" s="24" t="s">
        <v>52</v>
      </c>
      <c r="AA37" s="24"/>
      <c r="AB37" s="24"/>
      <c r="AC37" s="24"/>
      <c r="AD37" s="24"/>
      <c r="AE37" s="24"/>
      <c r="AF37" s="24"/>
      <c r="AG37" s="24"/>
      <c r="AH37" s="24"/>
      <c r="AI37" s="24"/>
      <c r="AJ37" s="24"/>
    </row>
    <row r="38" spans="1:43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</row>
    <row r="39" spans="1:43" ht="16.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39" t="s">
        <v>36</v>
      </c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</row>
    <row r="40" spans="1:43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51">
        <v>1437</v>
      </c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</row>
    <row r="41" spans="1:43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</row>
    <row r="42" spans="1:43" ht="15">
      <c r="A42" s="24"/>
      <c r="B42" s="24"/>
      <c r="C42" s="24"/>
      <c r="D42" s="24"/>
      <c r="E42" s="24"/>
      <c r="F42" s="24"/>
      <c r="G42" s="24" t="s">
        <v>53</v>
      </c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L42" s="66" t="s">
        <v>25</v>
      </c>
    </row>
    <row r="43" spans="1:43" ht="15">
      <c r="A43" s="24"/>
      <c r="B43" s="24"/>
      <c r="C43" s="24"/>
      <c r="D43" s="24"/>
      <c r="E43" s="24"/>
      <c r="F43" s="24"/>
      <c r="G43" s="28" t="s">
        <v>54</v>
      </c>
      <c r="H43" s="52">
        <f>+F14+G9+K12+R12+Q40+W46+X48+Y7+AD20</f>
        <v>2530.2772799681402</v>
      </c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L43" s="66" t="s">
        <v>58</v>
      </c>
    </row>
    <row r="44" spans="1:43" ht="15.75">
      <c r="A44" s="24"/>
      <c r="B44" s="24"/>
      <c r="C44" s="24"/>
      <c r="D44" s="24"/>
      <c r="E44" s="24"/>
      <c r="F44" s="24"/>
      <c r="G44" s="28" t="s">
        <v>55</v>
      </c>
      <c r="H44" s="52">
        <f>+AH6*2+W25</f>
        <v>2530.2772799681402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L44" s="67" t="s">
        <v>59</v>
      </c>
      <c r="AM44" s="67" t="s">
        <v>60</v>
      </c>
      <c r="AN44" s="67" t="s">
        <v>61</v>
      </c>
      <c r="AO44" s="67" t="s">
        <v>62</v>
      </c>
      <c r="AP44" s="67" t="s">
        <v>63</v>
      </c>
      <c r="AQ44" s="67" t="s">
        <v>9</v>
      </c>
    </row>
    <row r="45" spans="1:43" ht="15.75">
      <c r="A45" s="24"/>
      <c r="B45" s="24"/>
      <c r="C45" s="24"/>
      <c r="D45" s="24"/>
      <c r="E45" s="24"/>
      <c r="F45" s="24"/>
      <c r="G45" s="53" t="s">
        <v>56</v>
      </c>
      <c r="H45" s="54">
        <f>+H43-H44</f>
        <v>0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L45" s="20">
        <v>1</v>
      </c>
      <c r="AM45" s="21">
        <v>84702.415614585247</v>
      </c>
      <c r="AN45" s="68">
        <v>716.33333333333337</v>
      </c>
      <c r="AO45" s="20">
        <v>31</v>
      </c>
      <c r="AP45" s="68">
        <v>23.107526881720432</v>
      </c>
      <c r="AQ45" s="69">
        <v>0.96281362007168469</v>
      </c>
    </row>
    <row r="46" spans="1:43" ht="1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55">
        <f>+X48</f>
        <v>4</v>
      </c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L46" s="20">
        <v>2</v>
      </c>
      <c r="AM46" s="21">
        <v>87463.298439326303</v>
      </c>
      <c r="AN46" s="68">
        <v>691.33333333333337</v>
      </c>
      <c r="AO46" s="20">
        <v>29</v>
      </c>
      <c r="AP46" s="68">
        <v>23.839080459770116</v>
      </c>
      <c r="AQ46" s="69">
        <v>0.99329501915708818</v>
      </c>
    </row>
    <row r="47" spans="1:43" ht="1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L47" s="20">
        <v>3</v>
      </c>
      <c r="AM47" s="21">
        <v>78244.588350516715</v>
      </c>
      <c r="AN47" s="68">
        <v>717.66666666666663</v>
      </c>
      <c r="AO47" s="20">
        <v>31</v>
      </c>
      <c r="AP47" s="68">
        <v>23.1505376344086</v>
      </c>
      <c r="AQ47" s="69">
        <v>0.96460573476702505</v>
      </c>
    </row>
    <row r="48" spans="1:43" ht="1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56">
        <v>4</v>
      </c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L48" s="20">
        <v>4</v>
      </c>
      <c r="AM48" s="21">
        <v>79404.350497849897</v>
      </c>
      <c r="AN48" s="68">
        <v>720</v>
      </c>
      <c r="AO48" s="20">
        <v>30</v>
      </c>
      <c r="AP48" s="68">
        <v>24</v>
      </c>
      <c r="AQ48" s="69">
        <v>1</v>
      </c>
    </row>
    <row r="49" spans="1:43" ht="1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L49" s="20">
        <v>5</v>
      </c>
      <c r="AM49" s="21">
        <v>80897.762000354953</v>
      </c>
      <c r="AN49" s="68">
        <v>689.58333333333337</v>
      </c>
      <c r="AO49" s="20">
        <v>31</v>
      </c>
      <c r="AP49" s="68">
        <v>22.24462365591398</v>
      </c>
      <c r="AQ49" s="69">
        <v>0.92685931899641583</v>
      </c>
    </row>
    <row r="50" spans="1:43" ht="1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L50" s="20">
        <v>6</v>
      </c>
      <c r="AM50" s="21">
        <v>81116.534180521761</v>
      </c>
      <c r="AN50" s="68">
        <v>651.25</v>
      </c>
      <c r="AO50" s="20">
        <v>30</v>
      </c>
      <c r="AP50" s="68">
        <v>21.708333333333332</v>
      </c>
      <c r="AQ50" s="69">
        <v>0.90451388888888884</v>
      </c>
    </row>
    <row r="51" spans="1:43" ht="1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L51" s="20">
        <v>7</v>
      </c>
      <c r="AM51" s="21">
        <v>72853.939700074247</v>
      </c>
      <c r="AN51" s="68">
        <v>522.25</v>
      </c>
      <c r="AO51" s="20">
        <v>31</v>
      </c>
      <c r="AP51" s="68">
        <v>16.846774193548388</v>
      </c>
      <c r="AQ51" s="69">
        <v>0.70194892473118287</v>
      </c>
    </row>
    <row r="52" spans="1:43" ht="1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L52" s="20">
        <v>8</v>
      </c>
      <c r="AM52" s="21">
        <v>84377.283016758403</v>
      </c>
      <c r="AN52" s="68">
        <v>713.58333333333337</v>
      </c>
      <c r="AO52" s="20">
        <v>31</v>
      </c>
      <c r="AP52" s="68">
        <v>23.018817204301076</v>
      </c>
      <c r="AQ52" s="69">
        <v>0.95911738351254483</v>
      </c>
    </row>
    <row r="53" spans="1:43" ht="1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L53" s="20">
        <v>9</v>
      </c>
      <c r="AM53" s="21">
        <v>78299.793896741627</v>
      </c>
      <c r="AN53" s="68">
        <v>694.91666666666663</v>
      </c>
      <c r="AO53" s="20">
        <v>30</v>
      </c>
      <c r="AP53" s="68">
        <v>23.163888888888888</v>
      </c>
      <c r="AQ53" s="69">
        <v>0.96516203703703696</v>
      </c>
    </row>
    <row r="54" spans="1:43" ht="1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L54" s="20">
        <v>10</v>
      </c>
      <c r="AM54" s="21">
        <v>71996.01103166597</v>
      </c>
      <c r="AN54" s="68">
        <v>690.08333333333337</v>
      </c>
      <c r="AO54" s="20">
        <v>31</v>
      </c>
      <c r="AP54" s="68">
        <v>22.260752688172044</v>
      </c>
      <c r="AQ54" s="69">
        <v>0.92753136200716846</v>
      </c>
    </row>
    <row r="55" spans="1:43" ht="1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L55" s="20">
        <v>11</v>
      </c>
      <c r="AM55" s="21">
        <v>85960.939971928528</v>
      </c>
      <c r="AN55" s="68">
        <v>692.41666666666663</v>
      </c>
      <c r="AO55" s="20">
        <v>30</v>
      </c>
      <c r="AP55" s="68">
        <v>23.080555555555556</v>
      </c>
      <c r="AQ55" s="69">
        <v>0.96168981481481486</v>
      </c>
    </row>
    <row r="56" spans="1:43" ht="1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L56" s="20">
        <v>12</v>
      </c>
      <c r="AM56" s="21">
        <v>87263.585152050684</v>
      </c>
      <c r="AN56" s="68">
        <v>708.66666666666663</v>
      </c>
      <c r="AO56" s="20">
        <v>31</v>
      </c>
      <c r="AP56" s="68">
        <v>22.86021505376344</v>
      </c>
      <c r="AQ56" s="69">
        <v>0.95250896057347667</v>
      </c>
    </row>
    <row r="57" spans="1:43" ht="1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L57" s="2" t="s">
        <v>64</v>
      </c>
      <c r="AM57" s="70">
        <f>AVERAGE(AM45:AM56)</f>
        <v>81048.375154364519</v>
      </c>
      <c r="AQ57" s="71">
        <f>AVERAGE(AQ45:AQ56)</f>
        <v>0.93500383871311066</v>
      </c>
    </row>
    <row r="58" spans="1:43" ht="1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L58" s="2" t="s">
        <v>65</v>
      </c>
      <c r="AM58" s="70">
        <f>MEDIAN(AM45:AM56)</f>
        <v>81007.148090438364</v>
      </c>
      <c r="AQ58" s="71">
        <f>MEDIAN(AQ45:AQ56)</f>
        <v>0.9604035991636799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Ecuaciones Austin</vt:lpstr>
      <vt:lpstr>Hoja1</vt:lpstr>
      <vt:lpstr>Ej. Meadobank</vt:lpstr>
      <vt:lpstr>Ej. Otras Mineras</vt:lpstr>
      <vt:lpstr>Toromocho</vt:lpstr>
      <vt:lpstr>Calc Austin</vt:lpstr>
      <vt:lpstr>Densidad Ap</vt:lpstr>
      <vt:lpstr>Candelaria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</dc:creator>
  <cp:lastModifiedBy>Alfonso</cp:lastModifiedBy>
  <dcterms:created xsi:type="dcterms:W3CDTF">2020-10-22T15:03:39Z</dcterms:created>
  <dcterms:modified xsi:type="dcterms:W3CDTF">2021-12-31T21:31:49Z</dcterms:modified>
</cp:coreProperties>
</file>